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12"/>
  </bookViews>
  <sheets>
    <sheet name="BIEU 1" sheetId="1" r:id="rId1"/>
    <sheet name="Bieu 2" sheetId="2" r:id="rId2"/>
    <sheet name="Bieu 3" sheetId="3" r:id="rId3"/>
    <sheet name="Bieu 4" sheetId="4" r:id="rId4"/>
    <sheet name="Bieu 5" sheetId="5" r:id="rId5"/>
    <sheet name="PL1" sheetId="6" r:id="rId6"/>
    <sheet name="PL2" sheetId="7" r:id="rId7"/>
    <sheet name="PL3" sheetId="8" r:id="rId8"/>
    <sheet name="PL4" sheetId="9" r:id="rId9"/>
    <sheet name="PL5" sheetId="10" r:id="rId10"/>
    <sheet name="PL6" sheetId="11" r:id="rId11"/>
    <sheet name="PL7" sheetId="12" r:id="rId12"/>
    <sheet name="PL8" sheetId="13" r:id="rId13"/>
  </sheets>
  <externalReferences>
    <externalReference r:id="rId16"/>
    <externalReference r:id="rId17"/>
  </externalReferences>
  <definedNames>
    <definedName name="_xlnm.Print_Area" localSheetId="9">'PL5'!$A$1:$AR$33</definedName>
  </definedNames>
  <calcPr fullCalcOnLoad="1"/>
</workbook>
</file>

<file path=xl/comments2.xml><?xml version="1.0" encoding="utf-8"?>
<comments xmlns="http://schemas.openxmlformats.org/spreadsheetml/2006/main">
  <authors>
    <author>HuuChinh</author>
  </authors>
  <commentList>
    <comment ref="C5" authorId="0">
      <text>
        <r>
          <rPr>
            <b/>
            <sz val="8"/>
            <rFont val="Tahoma"/>
            <family val="2"/>
          </rPr>
          <t>HuuChinh: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<sst xmlns="http://schemas.openxmlformats.org/spreadsheetml/2006/main" count="1375" uniqueCount="852">
  <si>
    <t>Hạng mục</t>
  </si>
  <si>
    <t>Cấp nước</t>
  </si>
  <si>
    <t>Tổng dân số nông thôn</t>
  </si>
  <si>
    <t>người</t>
  </si>
  <si>
    <t>Tổng số người nghèo nông thôn</t>
  </si>
  <si>
    <t>Tổng số hộ dân nông thôn</t>
  </si>
  <si>
    <t>hộ</t>
  </si>
  <si>
    <t>Số dân được cấp nước HVS trong năm</t>
  </si>
  <si>
    <t>Luỹ tích số dân được cấp nước HVS</t>
  </si>
  <si>
    <t>Tỷ lệ % số dân được cấp nước HVS trong năm</t>
  </si>
  <si>
    <t>%</t>
  </si>
  <si>
    <t>Luỹ tích tỷ lệ % số dân được cấp nước HVS</t>
  </si>
  <si>
    <t>Tỷ lệ % số người nghèo được cấp nước HVS trong năm</t>
  </si>
  <si>
    <t>Luỹ tích tỷ lệ % số người nghèo được cấp nước HVS</t>
  </si>
  <si>
    <t>Số dân được cấp nước QC02 trong năm</t>
  </si>
  <si>
    <t>Luỹ tích số dân được cấp nước QC02</t>
  </si>
  <si>
    <t>Tỷ lệ % số dân được cấp nước QC02 trong năm</t>
  </si>
  <si>
    <t>Luỹ tích tỷ lệ % số dân được cấp nước QC02</t>
  </si>
  <si>
    <t>Tỷ lệ % số người nghèo được cấp nước QC02 trong năm</t>
  </si>
  <si>
    <t>Luỹ tích tỷ lệ % số người nghèo được cấp nước QC02</t>
  </si>
  <si>
    <t>Vệ sinh</t>
  </si>
  <si>
    <t>Số hộ gia đình (HGĐ) có nhà tiêu HVS trong năm</t>
  </si>
  <si>
    <t>Luỹ tích số HGĐ có nhà tiêu HVS</t>
  </si>
  <si>
    <t>Tỷ lệ % số HGĐ có nhà tiêu HVS trong năm</t>
  </si>
  <si>
    <t>Luỹ tích tỷ lệ % số HGĐ có nhà tiêu HVS</t>
  </si>
  <si>
    <t>Tỷ lệ % số HGĐ nghèo có nhà tiêu HVS trong năm</t>
  </si>
  <si>
    <t>Luỹ tích tỷ lệ % số HGĐ nghèo có nhà tiêu HVS</t>
  </si>
  <si>
    <t>Trường học mần non</t>
  </si>
  <si>
    <t>Tổng số trường học mầm non</t>
  </si>
  <si>
    <t>cái</t>
  </si>
  <si>
    <t>Số trường học mầm non có công trình</t>
  </si>
  <si>
    <t>Luỹ tích số trường học mầm non có công trình</t>
  </si>
  <si>
    <t>Tỷ lệ % số trường học mầm non có công trình</t>
  </si>
  <si>
    <t>Luỹ tích tỷ lệ % số trường học mầm non có công trình</t>
  </si>
  <si>
    <t>Môi trường</t>
  </si>
  <si>
    <t>Số hộ gia đình có chuồng trại chăn nuôi HVS</t>
  </si>
  <si>
    <t>Tỷ lệ % số HGĐ có chuồng trại chăn nuôi HVS</t>
  </si>
  <si>
    <t>Tỷ lệ % số HGĐ nghèo có chuồng trại chăn nuôi HVS</t>
  </si>
  <si>
    <t>Tỷ lệ % số HGĐ chăn nuôi có hầm Biogas</t>
  </si>
  <si>
    <t>Tỷ lệ % số HGĐ nghèo chăn nuôi có hầm Biogas</t>
  </si>
  <si>
    <t>TT</t>
  </si>
  <si>
    <t>I</t>
  </si>
  <si>
    <t>II</t>
  </si>
  <si>
    <t>III</t>
  </si>
  <si>
    <t>IV</t>
  </si>
  <si>
    <t>Đơn vị</t>
  </si>
  <si>
    <t>BIỂU 1: KẾT QUẢ THỰC HIỆN VÀ KẾ HOẠCH VỀ MỤC TIÊU</t>
  </si>
  <si>
    <t>Các công trình công cộng có công trình cấp nước sạch và nhà tiêu hợp vệ sinh</t>
  </si>
  <si>
    <t>Ước cả năm</t>
  </si>
  <si>
    <t>Thực hiện 2013</t>
  </si>
  <si>
    <t xml:space="preserve">Trường học </t>
  </si>
  <si>
    <t xml:space="preserve">Tổng số trường học </t>
  </si>
  <si>
    <t>Số trường học có công trình</t>
  </si>
  <si>
    <t>Luỹ tích số trường học có công trình</t>
  </si>
  <si>
    <t>Tỷ lệ % số trường học có công trình</t>
  </si>
  <si>
    <t>Luỹ tích tỷ lệ % số trường học có công trình</t>
  </si>
  <si>
    <t>Tổng số trạm y tế</t>
  </si>
  <si>
    <t>Số trạm y tế có công trình</t>
  </si>
  <si>
    <t>Luỹ tích số trạm y tế có công trình</t>
  </si>
  <si>
    <t>Tỷ lệ % số trạm y tế có công trình</t>
  </si>
  <si>
    <t>Luỹ tích tỷ lệ % số trạm y tế có công trình</t>
  </si>
  <si>
    <t xml:space="preserve">Trạm y tế </t>
  </si>
  <si>
    <t>Kế hoạch  năm 2013</t>
  </si>
  <si>
    <t xml:space="preserve">6 tháng đầu năm </t>
  </si>
  <si>
    <t>Kế hoạch  năm 2014</t>
  </si>
  <si>
    <t>BIỂU 2: KẾT QUẢ THỰC HIỆN VÀ KẾ HOẠCH VỀ NGUỒN VỐN</t>
  </si>
  <si>
    <t>Kế hoạch 2014</t>
  </si>
  <si>
    <t>Ghi chú</t>
  </si>
  <si>
    <t>6 tháng</t>
  </si>
  <si>
    <t>ước cả</t>
  </si>
  <si>
    <t>năm</t>
  </si>
  <si>
    <t>Vốn hỗ trợ của ngân sách TW</t>
  </si>
  <si>
    <t xml:space="preserve">- Chương trình, dự án khác </t>
  </si>
  <si>
    <t>Vốn hỗ trợ của ngân sách địa phương</t>
  </si>
  <si>
    <t>Vốn hỗ trợ Quốc tế (ghi cụ thể-nếu có)</t>
  </si>
  <si>
    <t>- Đan Mạch, Úc, DFID</t>
  </si>
  <si>
    <t>- WB</t>
  </si>
  <si>
    <t>SN</t>
  </si>
  <si>
    <t>WB</t>
  </si>
  <si>
    <t>ĐP+VK</t>
  </si>
  <si>
    <t>- Unicef</t>
  </si>
  <si>
    <t>- ADB</t>
  </si>
  <si>
    <t>- JICA</t>
  </si>
  <si>
    <t>- Tổ chức phi chính phủ</t>
  </si>
  <si>
    <t>- …</t>
  </si>
  <si>
    <t xml:space="preserve">Vốn tín dụng ưu đãi </t>
  </si>
  <si>
    <t>khac</t>
  </si>
  <si>
    <t>Vốn dân đóng góp</t>
  </si>
  <si>
    <t>Vốn tư nhân đầu tư</t>
  </si>
  <si>
    <t>ĐT</t>
  </si>
  <si>
    <t>Vốn khác</t>
  </si>
  <si>
    <t>Tổng cộng:</t>
  </si>
  <si>
    <t>Đơn vị: Triệu đồng</t>
  </si>
  <si>
    <t>Danh mục dự án</t>
  </si>
  <si>
    <t>Địa điểm XD</t>
  </si>
  <si>
    <t>Năng lực thiết kế</t>
  </si>
  <si>
    <t>Thời gian KC-HT</t>
  </si>
  <si>
    <t>Quyết định đầu tư</t>
  </si>
  <si>
    <t xml:space="preserve">Số quyết định </t>
  </si>
  <si>
    <t xml:space="preserve">TMĐT </t>
  </si>
  <si>
    <t>Tổng số</t>
  </si>
  <si>
    <t>Tđó: vốn ĐTPT nguồn NSNN</t>
  </si>
  <si>
    <t>Trong đó: Đầu tư từ NSNN</t>
  </si>
  <si>
    <t>CTMTQG</t>
  </si>
  <si>
    <t>TỔNG SỐ</t>
  </si>
  <si>
    <t>A</t>
  </si>
  <si>
    <t>Dự án hoàn thành</t>
  </si>
  <si>
    <t>Vốn trong nước</t>
  </si>
  <si>
    <t>T.Thủy</t>
  </si>
  <si>
    <r>
      <t>600m</t>
    </r>
    <r>
      <rPr>
        <vertAlign val="superscript"/>
        <sz val="8"/>
        <rFont val="Times New Roman"/>
        <family val="1"/>
      </rPr>
      <t>3</t>
    </r>
  </si>
  <si>
    <t>Nhu cầu 2013 Cấp nước</t>
  </si>
  <si>
    <t>T.Phong</t>
  </si>
  <si>
    <r>
      <t>5000m</t>
    </r>
    <r>
      <rPr>
        <vertAlign val="superscript"/>
        <sz val="8"/>
        <rFont val="Times New Roman"/>
        <family val="1"/>
      </rPr>
      <t>3</t>
    </r>
  </si>
  <si>
    <t>2011-2013</t>
  </si>
  <si>
    <t>Đ.Sơn</t>
  </si>
  <si>
    <r>
      <t>3000m</t>
    </r>
    <r>
      <rPr>
        <vertAlign val="superscript"/>
        <sz val="8"/>
        <rFont val="Times New Roman"/>
        <family val="1"/>
      </rPr>
      <t>3</t>
    </r>
  </si>
  <si>
    <t>N.Bình</t>
  </si>
  <si>
    <t>N. Lý</t>
  </si>
  <si>
    <r>
      <t>2000m</t>
    </r>
    <r>
      <rPr>
        <vertAlign val="superscript"/>
        <sz val="8"/>
        <rFont val="Times New Roman"/>
        <family val="1"/>
      </rPr>
      <t>3</t>
    </r>
  </si>
  <si>
    <t>Dự án nước sạch xã Thanh Nguyên</t>
  </si>
  <si>
    <t>T. Nguyên</t>
  </si>
  <si>
    <r>
      <t>1000m</t>
    </r>
    <r>
      <rPr>
        <vertAlign val="superscript"/>
        <sz val="8"/>
        <rFont val="Times New Roman"/>
        <family val="1"/>
      </rPr>
      <t>3</t>
    </r>
  </si>
  <si>
    <t>2012-2103</t>
  </si>
  <si>
    <t>DA khởi công mới năm 2013</t>
  </si>
  <si>
    <t>Dự án cấp nước xã Thanh Tân</t>
  </si>
  <si>
    <t>T Tân</t>
  </si>
  <si>
    <t>1000m3</t>
  </si>
  <si>
    <t>Dự án cấp nước xã Thanh Nghị</t>
  </si>
  <si>
    <t>T Nghị</t>
  </si>
  <si>
    <t>1.300m3</t>
  </si>
  <si>
    <t>Vốn ngoài nước (WB)</t>
  </si>
  <si>
    <t>Dự án cấp nước xã Nhân Thịnh</t>
  </si>
  <si>
    <t>1.200m3</t>
  </si>
  <si>
    <t>Dự án cấp nước xã Khả Phong</t>
  </si>
  <si>
    <t>Khả Phong</t>
  </si>
  <si>
    <t>2.400m3</t>
  </si>
  <si>
    <t>Dự án cấp nước xã An Lão</t>
  </si>
  <si>
    <t>An Lão</t>
  </si>
  <si>
    <t>Dự án cấp nước liên xã Chuyên Ngoại-Trác Văn , Hoà Mạc</t>
  </si>
  <si>
    <t>Chuyên Ngoại</t>
  </si>
  <si>
    <t>5.300m3</t>
  </si>
  <si>
    <t>Châu Sơn</t>
  </si>
  <si>
    <t>2.250m3</t>
  </si>
  <si>
    <t>Dự án cấp nước liên  xã Liêm Tuyền,Liêm Tiết</t>
  </si>
  <si>
    <t>2.600m3</t>
  </si>
  <si>
    <t>Hợp Lý</t>
  </si>
  <si>
    <t>Dự án cấp nước liên xã Đạo Lý, Chân Lý, Bắc Lý,Nhân Đạo, Nhân Hưng</t>
  </si>
  <si>
    <t>Chân Lỹ</t>
  </si>
  <si>
    <t>Dự án cấp nước liên xã Tràng An, An Mỹ, Đông Du,Bình Nghĩa, Đồn Xá</t>
  </si>
  <si>
    <t>Dự án cấp nước liên xã Đinh Xá, Trịnh Xá, Liêm Phong, Liêm Cần , Liêm Thuận</t>
  </si>
  <si>
    <t>Đinh xá</t>
  </si>
  <si>
    <t>B</t>
  </si>
  <si>
    <t>Dự án cấp nước &amp; VS trạm Y tế</t>
  </si>
  <si>
    <t>Xã Hòa Hậu</t>
  </si>
  <si>
    <t>Xã Nhân Mỹ</t>
  </si>
  <si>
    <t>Xã Yên Nam</t>
  </si>
  <si>
    <t>Xã Nguyễn Úy</t>
  </si>
  <si>
    <t>Xã Ngọc Lũ</t>
  </si>
  <si>
    <t>C</t>
  </si>
  <si>
    <t>Dự án VS trường học</t>
  </si>
  <si>
    <t>Kế hoạch năm 2013</t>
  </si>
  <si>
    <t>Khối lượng thực hiện kế hoạch  từ 01/01/2013 đến 30/6/2013</t>
  </si>
  <si>
    <t>Giải ngân kế hoạch  từ 01/01/2013 đến 30/06/2013</t>
  </si>
  <si>
    <t>Ước khối lượng thực hiện  01/01/2013 đến 31/12/2013</t>
  </si>
  <si>
    <t>Ước giải ngân kế hoạch  từ 01/01/2013 đến 31/12/2013</t>
  </si>
  <si>
    <t>Nhu cầu năm 2014</t>
  </si>
  <si>
    <t>7.800m3</t>
  </si>
  <si>
    <t>8.000m3</t>
  </si>
  <si>
    <t>Dự án chuyển tiếp</t>
  </si>
  <si>
    <t>Dự án Nhân Bình huyện Lý Nhân</t>
  </si>
  <si>
    <t xml:space="preserve">Dự án miền tây xã Thanh Thủy </t>
  </si>
  <si>
    <t>Xã Liêm Tuyền</t>
  </si>
  <si>
    <t>Trường Tiểu học Trung Lương (2 CT)</t>
  </si>
  <si>
    <t>THCS Trung Lương (2CT)</t>
  </si>
  <si>
    <t>Tiểu học Mỹ Thọ</t>
  </si>
  <si>
    <t>THCS Mỹ Thọ</t>
  </si>
  <si>
    <t>Tiểu học Mộc Bắc</t>
  </si>
  <si>
    <t>Tiểu học Nguyễn Úy</t>
  </si>
  <si>
    <t>THCS Nguyễn Úy</t>
  </si>
  <si>
    <t>Tiểu học Văn Xá</t>
  </si>
  <si>
    <t>Nh. Thinh</t>
  </si>
  <si>
    <t>Dự án cấp nước liên xã Châu Sơn, Tiên Hải, Tiên Phong</t>
  </si>
  <si>
    <t>Dự án cấp nước liên xã  Hợp Lý, Chính Lý, Văn Lý, Công Lý</t>
  </si>
  <si>
    <t>9000m3</t>
  </si>
  <si>
    <t>Vốn trong nước (CTMT)</t>
  </si>
  <si>
    <t>Vốn vay WB</t>
  </si>
  <si>
    <t>Stt</t>
  </si>
  <si>
    <t>Danh mục chương trình</t>
  </si>
  <si>
    <t>Ước thực hiện từ 01/01/2013 đến 31/12/2013</t>
  </si>
  <si>
    <t>Trong đó NSNN</t>
  </si>
  <si>
    <t>ĐTPT</t>
  </si>
  <si>
    <t>Sự nghiệp</t>
  </si>
  <si>
    <t>Trong
nước</t>
  </si>
  <si>
    <t>Ngoài
nước</t>
  </si>
  <si>
    <t>Dự án 1</t>
  </si>
  <si>
    <t>Ctrình cấp nước</t>
  </si>
  <si>
    <t xml:space="preserve"> </t>
  </si>
  <si>
    <t>Dự án cấp nước xã Thanh Thủy</t>
  </si>
  <si>
    <t>Dự án cấp  nước xã Thanh Nghị</t>
  </si>
  <si>
    <t>Dự án cấp nước liên xã  Họp Lý, Chính Lý, Văn Lý, Công Lý</t>
  </si>
  <si>
    <t>Ctrình cấp nước và</t>
  </si>
  <si>
    <t>vệ sinh trường học</t>
  </si>
  <si>
    <t>Biogas</t>
  </si>
  <si>
    <t>Dự án 2</t>
  </si>
  <si>
    <t>vệ sinh trạm y tế</t>
  </si>
  <si>
    <t>Trạm Y tế  xã Nhân Mỹ</t>
  </si>
  <si>
    <t>Vệ sinh hộ gia đình</t>
  </si>
  <si>
    <t>Dự án 3</t>
  </si>
  <si>
    <t>IEC</t>
  </si>
  <si>
    <t>Đtạo  năng lực</t>
  </si>
  <si>
    <t>Giám sát đanh giá</t>
  </si>
  <si>
    <t>Qui hoạch</t>
  </si>
  <si>
    <t>Dự án cấp nước sạch xã Thanh Tân</t>
  </si>
  <si>
    <t>SN (TTN+YT)</t>
  </si>
  <si>
    <t>Nhu cầu vốn năm 2014</t>
  </si>
  <si>
    <t>sư</t>
  </si>
  <si>
    <t>Xã Tiên Nội</t>
  </si>
  <si>
    <t>Xã Tràng An</t>
  </si>
  <si>
    <t>Xã Bối Cầu</t>
  </si>
  <si>
    <t>Xã Đinh Xá</t>
  </si>
  <si>
    <t>Xã An Lão</t>
  </si>
  <si>
    <t>Xã Thanh Hải</t>
  </si>
  <si>
    <t>Xã Nhật Tân</t>
  </si>
  <si>
    <t>Giải ngân từ 01/01/2013 đến 31/01/2014</t>
  </si>
  <si>
    <t>Đơn vị thực hiện</t>
  </si>
  <si>
    <t>SNN+SYT</t>
  </si>
  <si>
    <t>SNN</t>
  </si>
  <si>
    <t>SYT</t>
  </si>
  <si>
    <t>Liêm Tuyền</t>
  </si>
  <si>
    <t>Bình Nghĩa</t>
  </si>
  <si>
    <t>Vận hành bảo dưỡng</t>
  </si>
  <si>
    <t>WB(ĐTPT)</t>
  </si>
  <si>
    <t>Chỉ số giải ngân</t>
  </si>
  <si>
    <t>Năm 2013</t>
  </si>
  <si>
    <t>Năm 2014</t>
  </si>
  <si>
    <t>DLI 1.1 Số đấu nối mới hoạt động</t>
  </si>
  <si>
    <t>DLI 1.2 Số nhà tiêu hộ gia đình HVS mới</t>
  </si>
  <si>
    <t>DLI 2.1 Số người được hưởng lợi từ công trình CNTT bền vững</t>
  </si>
  <si>
    <t>DLI 2.2 Số người hưởng lợi từ "Vệ sinh toàn xã"</t>
  </si>
  <si>
    <t>DLI 3.1 KH năm của tỉnh được phê duyệt 2013 (Có/Không)</t>
  </si>
  <si>
    <t>DLI 3.2 Báo cáo chương trình được công bố (Có/Không)</t>
  </si>
  <si>
    <t>Có</t>
  </si>
  <si>
    <t>CTMTQG (ĐT)</t>
  </si>
  <si>
    <t>Hoạt động</t>
  </si>
  <si>
    <t>Năm 2015</t>
  </si>
  <si>
    <t>Nhóm 1 (6 công trình - 11 xã)</t>
  </si>
  <si>
    <t>Tuyển chọn tư vấn lập BCNCKT</t>
  </si>
  <si>
    <t>Lập BCNCKT + trình duyệt</t>
  </si>
  <si>
    <t>Tuyển chọn tư vấn T.kế</t>
  </si>
  <si>
    <t>Đấu thầu xây lắp và tuyển chọn T.vấn G.sát</t>
  </si>
  <si>
    <t>Xây dựng công trình</t>
  </si>
  <si>
    <t>+ Chuyên Ngoại/Trác Văn/Hòa Mạc</t>
  </si>
  <si>
    <t>+Khả Phong</t>
  </si>
  <si>
    <t>+ Liêm Tuyền, Liêm Tiết</t>
  </si>
  <si>
    <t>+ An Lão</t>
  </si>
  <si>
    <t>Nhóm 2 (4 công trình - 19 xã)</t>
  </si>
  <si>
    <t>+ Hợp Lý, Chính Lý, Công Lý, Văn Lý</t>
  </si>
  <si>
    <t>+ Đinh Xá, Trịnh Xá, Liêm Phong, Liêm Cần, Liêm Thuận</t>
  </si>
  <si>
    <t>Tổng cộng</t>
  </si>
  <si>
    <t>Ghi chú:</t>
  </si>
  <si>
    <t>Đấu nối (cái)</t>
  </si>
  <si>
    <t>Thời gian phát triển đấu nối và xác định tính bền vững:</t>
  </si>
  <si>
    <t>Thiết kế và lập hồ sơ mời thầu TKBVTC</t>
  </si>
  <si>
    <t>Đấu thầu xây lắp và tuyển chọn TVGS</t>
  </si>
  <si>
    <t>STT</t>
  </si>
  <si>
    <t>Tên xã - Huyện</t>
  </si>
  <si>
    <t>Dân số</t>
  </si>
  <si>
    <t>Nhà tiêu hộ gia đình</t>
  </si>
  <si>
    <t>Trường có nước sạch và nhà tiêu HVS</t>
  </si>
  <si>
    <t>Trạm y tế có nước sạch và nhà tiêu HVS</t>
  </si>
  <si>
    <t>Số nhà tiêu HVS mới (trong năm 2013) xây dựng từ nguồn:</t>
  </si>
  <si>
    <t>Tổng số hộ có nhà tiêu HVS lũy tiến 2013</t>
  </si>
  <si>
    <t>Tổng số hộ có nhà tiêu HVS lũy tiến 2014</t>
  </si>
  <si>
    <t>Tổng số hộ sử dụng nhà tiêu lũy tiến 2014</t>
  </si>
  <si>
    <t>Trợ cấp</t>
  </si>
  <si>
    <t>Vay vốn NHCSXH</t>
  </si>
  <si>
    <t>Tự đầu tư</t>
  </si>
  <si>
    <t>Tổng số xây mới</t>
  </si>
  <si>
    <t>Số lượng</t>
  </si>
  <si>
    <t>T. số trường học</t>
  </si>
  <si>
    <t>Sô trường xây/cải tạo mới</t>
  </si>
  <si>
    <t xml:space="preserve">% </t>
  </si>
  <si>
    <t>Mới</t>
  </si>
  <si>
    <t>6 = 3+4+5</t>
  </si>
  <si>
    <r>
      <t>DLI 2.2 Các xã dự kiến đạt "Vệ sinh toàn xã" năm 2014</t>
    </r>
    <r>
      <rPr>
        <sz val="10"/>
        <rFont val="Times New Roman"/>
        <family val="1"/>
      </rPr>
      <t> </t>
    </r>
  </si>
  <si>
    <t>An Mỹ</t>
  </si>
  <si>
    <t>Lê Hồ</t>
  </si>
  <si>
    <t>Liêm Phong</t>
  </si>
  <si>
    <t>TỔNG 2.2</t>
  </si>
  <si>
    <r>
      <t>DLI 1.2  Nhà tiêu hộ gia đình HVS cải tạo, xây mới tại các xã khác trong năm 2013 (Thực hiện đến năm 2017)</t>
    </r>
    <r>
      <rPr>
        <sz val="10"/>
        <rFont val="Times New Roman"/>
        <family val="1"/>
      </rPr>
      <t> </t>
    </r>
  </si>
  <si>
    <t>Bồ Đề</t>
  </si>
  <si>
    <t>Ngọc Lũ</t>
  </si>
  <si>
    <t>Hưng Công</t>
  </si>
  <si>
    <t>Vũ Bản</t>
  </si>
  <si>
    <t>La Sơn</t>
  </si>
  <si>
    <t>Yên Bắc</t>
  </si>
  <si>
    <t>Yên Nam</t>
  </si>
  <si>
    <t>Tiên Nội</t>
  </si>
  <si>
    <t>Hoàng Đông</t>
  </si>
  <si>
    <t>Đại Cương</t>
  </si>
  <si>
    <t>Đồng Hóa</t>
  </si>
  <si>
    <t>Thanh Sơn</t>
  </si>
  <si>
    <t>Ngọc Sơn</t>
  </si>
  <si>
    <t>Hòa Hậu</t>
  </si>
  <si>
    <t>Đồng Lý</t>
  </si>
  <si>
    <t>Nhân Nghĩa</t>
  </si>
  <si>
    <t>Văn Lý</t>
  </si>
  <si>
    <t>Tiến Thắng</t>
  </si>
  <si>
    <t>Thanh Phong</t>
  </si>
  <si>
    <t>Thanh Hà</t>
  </si>
  <si>
    <t>Thanh Nguyên</t>
  </si>
  <si>
    <t>Thanh Bình</t>
  </si>
  <si>
    <t>TỔNG 1.2 </t>
  </si>
  <si>
    <r>
      <t>TỔNG CỘNG</t>
    </r>
    <r>
      <rPr>
        <sz val="10"/>
        <rFont val="Times New Roman"/>
        <family val="1"/>
      </rPr>
      <t> </t>
    </r>
  </si>
  <si>
    <t>BIỂU 4: TỔNG HỢP TÌNH HÌNH THỰC HIỆN VỐN CHƯƠNG TRÌNH MỤC TIÊU QUỐC GIA KẾ HOẠCH NĂM 2013</t>
  </si>
  <si>
    <t>VÀ NHU CẦU NĂM 2014</t>
  </si>
  <si>
    <t>Trạm Y tế xã Hòa Hậu</t>
  </si>
  <si>
    <t>Mua trang thiết bị q.l</t>
  </si>
  <si>
    <t xml:space="preserve">  Vốn trong nước</t>
  </si>
  <si>
    <t xml:space="preserve">  Vốn nước ngoài (WB)</t>
  </si>
  <si>
    <t>2013-2014</t>
  </si>
  <si>
    <t>Năm 2016</t>
  </si>
  <si>
    <t>Năm 2017</t>
  </si>
  <si>
    <t>Tổng</t>
  </si>
  <si>
    <t>Sở Nông nghiệp &amp;PTNT</t>
  </si>
  <si>
    <t>Sở Y tế</t>
  </si>
  <si>
    <t>Sở Giáo dục &amp;ĐT</t>
  </si>
  <si>
    <t>Mục tiêu/Các dự án …</t>
  </si>
  <si>
    <t>Cấp nước và vệ sinh các trường học</t>
  </si>
  <si>
    <t>Mục tiêu/Các dự án ...</t>
  </si>
  <si>
    <t>Chuồng trại chăn nuôi</t>
  </si>
  <si>
    <t>Cấp nước và vệ sinh trạm xá xã</t>
  </si>
  <si>
    <t>Đào tạo  năng lực</t>
  </si>
  <si>
    <t>Giám sát đanh giá (Bộ chỉ số GSĐG, chất lượng nước,...)</t>
  </si>
  <si>
    <t>Rà soát qui hoạch</t>
  </si>
  <si>
    <t>Vận hành bdưỡng</t>
  </si>
  <si>
    <t xml:space="preserve">Quản lý điều hành, </t>
  </si>
  <si>
    <t>Khác (Mua sắm trang thiết bị…)</t>
  </si>
  <si>
    <t>Tổng vốn đầu tư</t>
  </si>
  <si>
    <t>Tổng vốn sự nghiệp</t>
  </si>
  <si>
    <t>TỔNG CỘNG</t>
  </si>
  <si>
    <t>Dự án cấp nước</t>
  </si>
  <si>
    <t>PHỤ LỤC 1. BẢNG DỮ LIỆU</t>
  </si>
  <si>
    <t>DỮ LIỆU HIỆN TẠI</t>
  </si>
  <si>
    <t>DỮ LIỆU CƠ BẢN VỀ TỈNH</t>
  </si>
  <si>
    <r>
      <t>1.1.  Diện tích (km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</si>
  <si>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1.4.  Số huyện </t>
  </si>
  <si>
    <t>1.5.  Số xã nông thôn</t>
  </si>
  <si>
    <t>1.6.  Số thành phố/thị xã</t>
  </si>
  <si>
    <t>1.7.  Tổng số hộ nông thôn</t>
  </si>
  <si>
    <t>1.8.  Quy mô hộ trung bình</t>
  </si>
  <si>
    <t>1.9.  Số lượng trạm y tế xã</t>
  </si>
  <si>
    <t>1.10.  Số lượng trường mẫu giáo công lập</t>
  </si>
  <si>
    <t>1.11.  Số lượng trường tiểu học</t>
  </si>
  <si>
    <t>1.12.  Số lượng trường trung học</t>
  </si>
  <si>
    <t>2.1.   % số người tiếp cận nước HVS</t>
  </si>
  <si>
    <t>2.2.  % số người tiếp cận nước sạch</t>
  </si>
  <si>
    <t>2.3.  Tổng số công trình CNTT tại khu vực nông thôn</t>
  </si>
  <si>
    <t>a)     Sử dụng nước ngầm</t>
  </si>
  <si>
    <t xml:space="preserve">b)     Sử dụng nước mặt </t>
  </si>
  <si>
    <t>c)     Cung cấp nước sạch</t>
  </si>
  <si>
    <t>d)     Cung cấp nước HVS</t>
  </si>
  <si>
    <t>2.4.  Số lượng đấu nối tại khu vực nông thôn</t>
  </si>
  <si>
    <t>2.5.  Giá nước trung bình hiện tại (VND/m3)</t>
  </si>
  <si>
    <t>2.6.  Chi phí sản xuất hiện tại (VND/m3)</t>
  </si>
  <si>
    <t>2.7.  Tỷ lệ thất thoát trung bình (%)</t>
  </si>
  <si>
    <t>3.1.  Số hộ có nhà tiêu HVS</t>
  </si>
  <si>
    <t>3.2.  % người được tiếp cận nhà tiêu HVS</t>
  </si>
  <si>
    <t>3.3.  Số hộ có nhà tiêu</t>
  </si>
  <si>
    <t>3.4.  Số hộ chưa có nhà tiêu</t>
  </si>
  <si>
    <t>3.5.  Số xã đạt “Vệ sinh toàn xã”</t>
  </si>
  <si>
    <t>3.6.  Số trường học công lập có công trình nước và nhà tiêu HVS</t>
  </si>
  <si>
    <t xml:space="preserve">3.7.  Số trường học công lập không có công trình nước và nhà tiêu HVS </t>
  </si>
  <si>
    <t xml:space="preserve">3.8.  Số trạm y tế có nước và nhà tiêu HVS </t>
  </si>
  <si>
    <t xml:space="preserve">3.9.  Số trạm y tế không có nước và nhà tiêu HVS </t>
  </si>
  <si>
    <t>4.2.  Số hộ nghèo được cấp nước giai đoạn 2013-2017</t>
  </si>
  <si>
    <t>4.3.  Số hộ nghèo có nhà tiêu HVS giai đoạn 2013-2017</t>
  </si>
  <si>
    <t>4.4.  Dân số các dân tộc thiểu số năm 2012</t>
  </si>
  <si>
    <t>4.5.  Số hộ thiểu số được cấp nước giai đoạn 2013-2017</t>
  </si>
  <si>
    <t>4.6.  Số hộ thiểu số có nhà tiêu HVS giai đoạn 2013-2017</t>
  </si>
  <si>
    <t xml:space="preserve">DỮ LIỆU GIỚI </t>
  </si>
  <si>
    <t>5.1.  % hộ gia đình do phụ nữ làm chủ hưởng hưởng lợi từ CTCNTT</t>
  </si>
  <si>
    <t>5.2.  % hộ gia đình do phụ nữ làm chủ hưởng hưởng lợi từ CT vệ sinh</t>
  </si>
  <si>
    <t>THU HỒI ĐẤT</t>
  </si>
  <si>
    <t>6.1  Tổng diện tích đất thu hồi thuộc Chương trình</t>
  </si>
  <si>
    <t>DỮ LIỆU KẾ HOẠCH</t>
  </si>
  <si>
    <t>KẾ HOẠCH ĐẦU TƯ 5 NĂM</t>
  </si>
  <si>
    <t>1.1.  Số công trình CNTT mới đề xuất</t>
  </si>
  <si>
    <t>1.2.  Số xã được cấp nước từ các CTCNTT mới</t>
  </si>
  <si>
    <t>1.3.  Số đấu nối nước mới dự kiến từ các công trình CTCNTT mới</t>
  </si>
  <si>
    <t>1.4.  Số nhà tiêu hộ gia đình HVS đề xuất</t>
  </si>
  <si>
    <t>1.5.  Số xã đề xuất đạt “Vệ sinh toàn xã”</t>
  </si>
  <si>
    <t>1.6.  Số người hưởng lợi từ “Vệ sinh toàn xã”</t>
  </si>
  <si>
    <t xml:space="preserve">1.7.  Số công trình NS-VS trường học dự kiến được cải tạo-xây mới trong kế hoạch 5 năm </t>
  </si>
  <si>
    <t>1.8.  Số công trình NS-VS trạm y tế dự kiến được cải tạo-xây mới trong kế hoạch 5 năm</t>
  </si>
  <si>
    <t xml:space="preserve">1.9.  Các khoản đầu tư CN&amp;VS khác đề xuất trong giai đoạn 5 năm </t>
  </si>
  <si>
    <t>KẾ HOẠCH ĐẦU TƯ 2 NĂM ĐẦU</t>
  </si>
  <si>
    <t>2.1.  Số công trình CNTT mới đề xuất</t>
  </si>
  <si>
    <t>2.2.  Số xã được cấp nước từ các CTCNTT mới</t>
  </si>
  <si>
    <t>2.3.  Số đấu nối nước mới dự kiến từ các công trình từ các CTCNTT mới</t>
  </si>
  <si>
    <t xml:space="preserve">2.4.  Số nhà tiêu hộ gia đình HVS đề xuất </t>
  </si>
  <si>
    <t>2.5.  Số người hưởng lợi từ “Vệ sinh toàn xã”</t>
  </si>
  <si>
    <t>TỔNG CHI PHÍ DỰ KIẾN (triệu VND) 5 năm</t>
  </si>
  <si>
    <t>3.1.  Hợp phần 1 - Cấp nước</t>
  </si>
  <si>
    <t xml:space="preserve">3.2.  Hợp phần 2 - Vệ sinh </t>
  </si>
  <si>
    <t xml:space="preserve">3.3.  Hợp phần 3 - Tăng cường năng lực </t>
  </si>
  <si>
    <t>3.4.  Tổng chi phí chưa gồm dự phòng</t>
  </si>
  <si>
    <t>3.5.  Tổng chi phí, bao gồm dự phòng phí</t>
  </si>
  <si>
    <t>CÁC CHỈ SỐ</t>
  </si>
  <si>
    <t>DLI 1.1</t>
  </si>
  <si>
    <r>
      <t>·</t>
    </r>
    <r>
      <rPr>
        <sz val="12"/>
        <rFont val="Times New Roman"/>
        <family val="1"/>
      </rPr>
      <t>        Năm 1- số đấu nối nước mới, hoạt động</t>
    </r>
  </si>
  <si>
    <r>
      <t>·</t>
    </r>
    <r>
      <rPr>
        <sz val="12"/>
        <rFont val="Times New Roman"/>
        <family val="1"/>
      </rPr>
      <t>        Năm 2- số đấu nối nước mới, hoạt động</t>
    </r>
  </si>
  <si>
    <r>
      <t>·</t>
    </r>
    <r>
      <rPr>
        <sz val="12"/>
        <rFont val="Times New Roman"/>
        <family val="1"/>
      </rPr>
      <t>        Năm 3- số đấu nối nước mới, hoạt động</t>
    </r>
  </si>
  <si>
    <r>
      <t>·</t>
    </r>
    <r>
      <rPr>
        <sz val="12"/>
        <rFont val="Times New Roman"/>
        <family val="1"/>
      </rPr>
      <t>        Năm 4- số đấu nối nước mới, hoạt động</t>
    </r>
  </si>
  <si>
    <r>
      <t>·</t>
    </r>
    <r>
      <rPr>
        <sz val="12"/>
        <rFont val="Times New Roman"/>
        <family val="1"/>
      </rPr>
      <t>        Năm 5- số đấu nối nước mới, hoạt động</t>
    </r>
  </si>
  <si>
    <r>
      <t>·</t>
    </r>
    <r>
      <rPr>
        <b/>
        <sz val="12"/>
        <rFont val="Times New Roman"/>
        <family val="1"/>
      </rPr>
      <t>        Tổng 5 năm</t>
    </r>
  </si>
  <si>
    <t>DLI 1.2</t>
  </si>
  <si>
    <r>
      <t>·</t>
    </r>
    <r>
      <rPr>
        <sz val="12"/>
        <rFont val="Times New Roman"/>
        <family val="1"/>
      </rPr>
      <t>        Năm 1- Nhà tiêu HVS được cải tạo, xây mới</t>
    </r>
  </si>
  <si>
    <r>
      <t>·</t>
    </r>
    <r>
      <rPr>
        <sz val="12"/>
        <rFont val="Times New Roman"/>
        <family val="1"/>
      </rPr>
      <t>        Năm 2- Nhà tiêu HVS được cải tạo, xây mới</t>
    </r>
  </si>
  <si>
    <r>
      <t>·</t>
    </r>
    <r>
      <rPr>
        <sz val="12"/>
        <rFont val="Times New Roman"/>
        <family val="1"/>
      </rPr>
      <t>        Năm 3- Nhà tiêu HVS được cải tạo, xây mới</t>
    </r>
  </si>
  <si>
    <r>
      <t>·</t>
    </r>
    <r>
      <rPr>
        <sz val="12"/>
        <rFont val="Times New Roman"/>
        <family val="1"/>
      </rPr>
      <t>        Năm 4- Nhà tiêu HVS được cải tạo, xây mới</t>
    </r>
  </si>
  <si>
    <r>
      <t>·</t>
    </r>
    <r>
      <rPr>
        <sz val="12"/>
        <rFont val="Times New Roman"/>
        <family val="1"/>
      </rPr>
      <t>        Năm 5- Nhà tiêu HVS được cải tạo, xây mới</t>
    </r>
  </si>
  <si>
    <t>Mục tiêu giải ngân (triệu USD)</t>
  </si>
  <si>
    <r>
      <t>·</t>
    </r>
    <r>
      <rPr>
        <sz val="12"/>
        <rFont val="Times New Roman"/>
        <family val="1"/>
      </rPr>
      <t>        Năm 1</t>
    </r>
  </si>
  <si>
    <r>
      <t>·</t>
    </r>
    <r>
      <rPr>
        <sz val="12"/>
        <rFont val="Times New Roman"/>
        <family val="1"/>
      </rPr>
      <t>        Năm 2</t>
    </r>
  </si>
  <si>
    <r>
      <t>·</t>
    </r>
    <r>
      <rPr>
        <sz val="12"/>
        <rFont val="Times New Roman"/>
        <family val="1"/>
      </rPr>
      <t>        Năm 3</t>
    </r>
  </si>
  <si>
    <r>
      <t>·</t>
    </r>
    <r>
      <rPr>
        <sz val="12"/>
        <rFont val="Times New Roman"/>
        <family val="1"/>
      </rPr>
      <t>        Năm 4</t>
    </r>
  </si>
  <si>
    <r>
      <t>·</t>
    </r>
    <r>
      <rPr>
        <sz val="12"/>
        <rFont val="Times New Roman"/>
        <family val="1"/>
      </rPr>
      <t>        Năm 5</t>
    </r>
  </si>
  <si>
    <r>
      <t>·</t>
    </r>
    <r>
      <rPr>
        <sz val="12"/>
        <rFont val="Times New Roman"/>
        <family val="1"/>
      </rPr>
      <t>        Tổng cộng</t>
    </r>
  </si>
  <si>
    <t>DLI 2.1</t>
  </si>
  <si>
    <r>
      <t>·</t>
    </r>
    <r>
      <rPr>
        <sz val="12"/>
        <rFont val="Times New Roman"/>
        <family val="1"/>
      </rPr>
      <t>        Năm 1 – Số người hưởng lợi từ CTCNTT bền vững</t>
    </r>
  </si>
  <si>
    <r>
      <t>·</t>
    </r>
    <r>
      <rPr>
        <sz val="12"/>
        <rFont val="Times New Roman"/>
        <family val="1"/>
      </rPr>
      <t>        Năm 2 – Số người hưởng lợi từ CTCNTT bền vững</t>
    </r>
  </si>
  <si>
    <r>
      <t>·</t>
    </r>
    <r>
      <rPr>
        <sz val="12"/>
        <rFont val="Times New Roman"/>
        <family val="1"/>
      </rPr>
      <t>        Năm 3 – Số người hưởng lợi từ CTCNTT bền vững</t>
    </r>
  </si>
  <si>
    <r>
      <t>·</t>
    </r>
    <r>
      <rPr>
        <sz val="12"/>
        <rFont val="Times New Roman"/>
        <family val="1"/>
      </rPr>
      <t>        Năm 4 – Số người hưởng lợi từ CTCNTT bền vững</t>
    </r>
  </si>
  <si>
    <r>
      <t>·</t>
    </r>
    <r>
      <rPr>
        <sz val="12"/>
        <rFont val="Times New Roman"/>
        <family val="1"/>
      </rPr>
      <t>        Năm 5 – Số người hưởng lợi từ CTCNTT bền vững</t>
    </r>
  </si>
  <si>
    <t>DLI 2.2</t>
  </si>
  <si>
    <r>
      <t>·</t>
    </r>
    <r>
      <rPr>
        <sz val="12"/>
        <rFont val="Times New Roman"/>
        <family val="1"/>
      </rPr>
      <t>        Năm 1- Số người hưởng lợi từ “Vệ sinh toàn xã”</t>
    </r>
  </si>
  <si>
    <r>
      <t>·</t>
    </r>
    <r>
      <rPr>
        <sz val="12"/>
        <rFont val="Times New Roman"/>
        <family val="1"/>
      </rPr>
      <t>        Năm 2- Số người hưởng lợi từ “Vệ sinh toàn xã”</t>
    </r>
  </si>
  <si>
    <r>
      <t>·</t>
    </r>
    <r>
      <rPr>
        <sz val="12"/>
        <rFont val="Times New Roman"/>
        <family val="1"/>
      </rPr>
      <t>        Năm 3- Số người hưởng lợi từ “Vệ sinh toàn xã”</t>
    </r>
  </si>
  <si>
    <r>
      <t>·</t>
    </r>
    <r>
      <rPr>
        <sz val="12"/>
        <rFont val="Times New Roman"/>
        <family val="1"/>
      </rPr>
      <t>        Năm 4- Số người hưởng lợi từ “Vệ sinh toàn xã”</t>
    </r>
  </si>
  <si>
    <r>
      <t>·</t>
    </r>
    <r>
      <rPr>
        <sz val="12"/>
        <rFont val="Times New Roman"/>
        <family val="1"/>
      </rPr>
      <t>        Năm 5- Số người hưởng lợi từ “Vệ sinh toàn xã”</t>
    </r>
  </si>
  <si>
    <t>DLI 3.1</t>
  </si>
  <si>
    <r>
      <t>·</t>
    </r>
    <r>
      <rPr>
        <sz val="12"/>
        <rFont val="Times New Roman"/>
        <family val="1"/>
      </rPr>
      <t>        Năm 1- Kế hoạch năm được xây dựng và các báo cáo được thực hiện</t>
    </r>
  </si>
  <si>
    <r>
      <t>·</t>
    </r>
    <r>
      <rPr>
        <sz val="12"/>
        <rFont val="Times New Roman"/>
        <family val="1"/>
      </rPr>
      <t>        Năm 2- Kế hoạch năm được xây dựng và các báo cáo được thực hiện</t>
    </r>
  </si>
  <si>
    <r>
      <t>·</t>
    </r>
    <r>
      <rPr>
        <sz val="12"/>
        <rFont val="Times New Roman"/>
        <family val="1"/>
      </rPr>
      <t>        Năm 3- Kế hoạch năm được xây dựng và các báo cáo được thực hiện</t>
    </r>
  </si>
  <si>
    <r>
      <t>·</t>
    </r>
    <r>
      <rPr>
        <sz val="12"/>
        <rFont val="Times New Roman"/>
        <family val="1"/>
      </rPr>
      <t>        Năm 4- Kế hoạch năm được xây dựng và các báo cáo được thực hiện</t>
    </r>
  </si>
  <si>
    <r>
      <t>·</t>
    </r>
    <r>
      <rPr>
        <sz val="12"/>
        <rFont val="Times New Roman"/>
        <family val="1"/>
      </rPr>
      <t>        Năm 5- Kế hoạch năm được xây dựng và các báo cáo được thực hiện</t>
    </r>
  </si>
  <si>
    <t xml:space="preserve">DLI 3.2 </t>
  </si>
  <si>
    <r>
      <t>860,49km</t>
    </r>
    <r>
      <rPr>
        <vertAlign val="superscript"/>
        <sz val="12"/>
        <rFont val="Times New Roman"/>
        <family val="1"/>
      </rPr>
      <t>2</t>
    </r>
  </si>
  <si>
    <t>5 huyện</t>
  </si>
  <si>
    <t>0.377</t>
  </si>
  <si>
    <t>0.617</t>
  </si>
  <si>
    <t>0.308</t>
  </si>
  <si>
    <t>PHỤ LỤC 2: TỔNG HỢP CÁC CHỈ SỐ GiẢI NGÂN (DLI)</t>
  </si>
  <si>
    <t>Huyện</t>
  </si>
  <si>
    <t>Xã</t>
  </si>
  <si>
    <t>Thôn/Tên công trình cấp nước</t>
  </si>
  <si>
    <t>Nguồn nước</t>
  </si>
  <si>
    <t>Công suất thiết kế (m3/ng)</t>
  </si>
  <si>
    <t>Công suất khai thác (m3/ng)</t>
  </si>
  <si>
    <t>Số hộ được cấp nước theo thiết kế</t>
  </si>
  <si>
    <t>Số người được cấp nước theo thiết kế</t>
  </si>
  <si>
    <t>Số hộ đấu nối thực tế</t>
  </si>
  <si>
    <t>Số người sử dụng nước thực tế</t>
  </si>
  <si>
    <t>Số đồng hồ nước được lắp đặt</t>
  </si>
  <si>
    <t>S¶n l­îng n­íc s¶n xuÊt bq 1 th¸ng       (m3)</t>
  </si>
  <si>
    <t>S¶n l­îng n­íc th­¬ng phÈm (m3)</t>
  </si>
  <si>
    <t>Gi¸ b¸n n­íc (®/m3)</t>
  </si>
  <si>
    <t>Sè tiÒn thu tõ b¸n n­íc bq 1 th¸ng  (ngh×n ®ång)</t>
  </si>
  <si>
    <t>C¸c kho¶n chi phÝ bq trong 01 th¸ng (ngh×n ®ång)</t>
  </si>
  <si>
    <t>Tổng chi phí (ngàn đồng)</t>
  </si>
  <si>
    <t>Mô hình quản lý</t>
  </si>
  <si>
    <t>Chi l­¬ng</t>
  </si>
  <si>
    <t>§iÖn n¨ng</t>
  </si>
  <si>
    <t>Hãa chÊt</t>
  </si>
  <si>
    <t>Söa ch÷a nhá</t>
  </si>
  <si>
    <t>Tư nhân</t>
  </si>
  <si>
    <t>Cộng đồng</t>
  </si>
  <si>
    <t>Tên Huyện/Xã</t>
  </si>
  <si>
    <t>Số người</t>
  </si>
  <si>
    <t>Tỉ lệ người sử dụng nước HVS, %</t>
  </si>
  <si>
    <t>Giếng đào</t>
  </si>
  <si>
    <t>Giếng khoan</t>
  </si>
  <si>
    <t>Lu, Bể chứa nước mưa</t>
  </si>
  <si>
    <t xml:space="preserve">   Nước sông, suối, hồ</t>
  </si>
  <si>
    <t>Vòi nước máy riêng</t>
  </si>
  <si>
    <t>Nước máy công cộng</t>
  </si>
  <si>
    <t>Số người sử dụng nước HVS</t>
  </si>
  <si>
    <t>Tỉ lệ số người sử dụng nước HVS  %</t>
  </si>
  <si>
    <t>Số lượng được xếp là HVS:</t>
  </si>
  <si>
    <t xml:space="preserve">Số người sử dụng giếng đào HVS </t>
  </si>
  <si>
    <t>Số giếng khoan</t>
  </si>
  <si>
    <t>Số giếng khoan được xếp là HVS</t>
  </si>
  <si>
    <t xml:space="preserve">Số người sử dụng giếng khoan HVS </t>
  </si>
  <si>
    <t>Số lượng được xếp là HVS</t>
  </si>
  <si>
    <t xml:space="preserve">Số người sử dụng nước mưa HVS </t>
  </si>
  <si>
    <t xml:space="preserve">Số  nguồn nước sông suối... đã xử lí HVS </t>
  </si>
  <si>
    <t xml:space="preserve">Số người sử dụng </t>
  </si>
  <si>
    <t>Số vòi nước máy  nhà riêng</t>
  </si>
  <si>
    <t xml:space="preserve">Số vòi/ bể nước máy công cộng </t>
  </si>
  <si>
    <t>V</t>
  </si>
  <si>
    <t>VI</t>
  </si>
  <si>
    <t>IX</t>
  </si>
  <si>
    <t>Tổng Hợp Toàn Tỉnh</t>
  </si>
  <si>
    <t>SốTT</t>
  </si>
  <si>
    <t xml:space="preserve">Số hộ </t>
  </si>
  <si>
    <t>Tỷ lệ hộ sử dụng nhà tiêu HVS</t>
  </si>
  <si>
    <t xml:space="preserve">Nhà tiêu gia đình đang sử dụng </t>
  </si>
  <si>
    <t>Số hộ sử dụng nhà tiêu  HVS</t>
  </si>
  <si>
    <t>Tỉ lệ hộ  dân sử dụng nhà tiêu HVS  %</t>
  </si>
  <si>
    <t>Số hộ có nhà tiêu  HVS</t>
  </si>
  <si>
    <t>Tỉ lệ hộ  dân có nhà tiêu HVS  %</t>
  </si>
  <si>
    <t xml:space="preserve"> Tự hoại</t>
  </si>
  <si>
    <t xml:space="preserve"> Thấm dội nước</t>
  </si>
  <si>
    <t xml:space="preserve"> Hai ngăn ủ phân</t>
  </si>
  <si>
    <t xml:space="preserve"> Chìm có ống thông hơi</t>
  </si>
  <si>
    <t>Khác</t>
  </si>
  <si>
    <t>Hợp VS</t>
  </si>
  <si>
    <t>+ Chân Lý, Đạo Lý, Bắc Lý, Nhân Đạo, Nhân Hưng</t>
  </si>
  <si>
    <t>+ Nhân Thịnh</t>
  </si>
  <si>
    <t>+ Châu Sơn, Tiên Hải, Tiên Phong</t>
  </si>
  <si>
    <t>+ Bình Nghĩa, Tràng An, An Mỹ, Đồn Xá</t>
  </si>
  <si>
    <t>Chương trình MTQG NSVSMTNT</t>
  </si>
  <si>
    <t>45 xã</t>
  </si>
  <si>
    <t>60,6</t>
  </si>
  <si>
    <t>PHỤ LỤC 3: SỐ XÃ ĐẠT VỆ SINH TOÀN XÃ TÍNH ĐẾN NGÀY 31/12/2013</t>
  </si>
  <si>
    <t xml:space="preserve">Tên xã </t>
  </si>
  <si>
    <t>Nhà tiêu HVS hộ gia đình</t>
  </si>
  <si>
    <t>Có nhà tiêu</t>
  </si>
  <si>
    <t>Trường học[1]</t>
  </si>
  <si>
    <t>Trung tâm y tế xã</t>
  </si>
  <si>
    <t>Hộ GĐ</t>
  </si>
  <si>
    <t xml:space="preserve">Hộ nghèo </t>
  </si>
  <si>
    <t>Hộ dân tộc thiểu số</t>
  </si>
  <si>
    <t>No.</t>
  </si>
  <si>
    <t>% HS &amp; CW</t>
  </si>
  <si>
    <t>% HS&amp;CW</t>
  </si>
  <si>
    <t>Xã Thanh Tuyền</t>
  </si>
  <si>
    <t>100.0</t>
  </si>
  <si>
    <t>Thị trấn Bình Mỹ</t>
  </si>
  <si>
    <t>90,19</t>
  </si>
  <si>
    <t>99,1</t>
  </si>
  <si>
    <t>Xã Mộc Nam</t>
  </si>
  <si>
    <t>98,29</t>
  </si>
  <si>
    <t>Xã Thanh Châu</t>
  </si>
  <si>
    <t>94,71</t>
  </si>
  <si>
    <t>96,9</t>
  </si>
  <si>
    <t>Thị trấn Vĩnh Trụ</t>
  </si>
  <si>
    <t>Xã Thi Sơn</t>
  </si>
  <si>
    <t>Xã Phù Vân</t>
  </si>
  <si>
    <t>Thị trấn Quế</t>
  </si>
  <si>
    <t>Xã Châu Sơn</t>
  </si>
  <si>
    <t>Xã Thanh Lưu</t>
  </si>
  <si>
    <t>Xã Tiên Phong</t>
  </si>
  <si>
    <t>Xã An Đổ</t>
  </si>
  <si>
    <t>Xã Lam Hạ</t>
  </si>
  <si>
    <t>Xã Liêm Chính</t>
  </si>
  <si>
    <t>Xã Thanh Thủy</t>
  </si>
  <si>
    <t>Xã Châu Giang</t>
  </si>
  <si>
    <t>Xã Tiêu Động</t>
  </si>
  <si>
    <t>Xã Trác Văn</t>
  </si>
  <si>
    <t>Xã Duy Minh</t>
  </si>
  <si>
    <t>Xã Nhân Thịnh</t>
  </si>
  <si>
    <t>Trung Lương</t>
  </si>
  <si>
    <t>Nguyễn Uý</t>
  </si>
  <si>
    <t>Văn Xá</t>
  </si>
  <si>
    <t>Mộc Bắc</t>
  </si>
  <si>
    <t>Xuân Khê</t>
  </si>
  <si>
    <t xml:space="preserve">Nhân Mỹ </t>
  </si>
  <si>
    <t>Số hộ (nóc nhà)</t>
  </si>
  <si>
    <t>Mỹ Thọ</t>
  </si>
  <si>
    <t>Huyện Kim Bảng</t>
  </si>
  <si>
    <t>Xã Ba Sao</t>
  </si>
  <si>
    <t>Xã Đại Cương</t>
  </si>
  <si>
    <t>Xã Đồng Hóa</t>
  </si>
  <si>
    <t>Xã Hoàng Tây</t>
  </si>
  <si>
    <t>Xã Khả Phong</t>
  </si>
  <si>
    <t>Xã Lê Hồ</t>
  </si>
  <si>
    <t>Xã Liên Sơn</t>
  </si>
  <si>
    <t>Xã Ngọc Sơn</t>
  </si>
  <si>
    <t>Xã Nguyễn úy</t>
  </si>
  <si>
    <t>Xã Nhật Tựu</t>
  </si>
  <si>
    <t>Xã Tân Sơn</t>
  </si>
  <si>
    <t>Xã Tượng Lĩnh</t>
  </si>
  <si>
    <t>Xã Thanh Sơn</t>
  </si>
  <si>
    <t>Xã Thụy Lôi</t>
  </si>
  <si>
    <t>Xã Văn Xá</t>
  </si>
  <si>
    <t>Bình Lục</t>
  </si>
  <si>
    <t>60,51</t>
  </si>
  <si>
    <t>55,26</t>
  </si>
  <si>
    <t>Xã An Mỹ</t>
  </si>
  <si>
    <t>Xã An Ninh</t>
  </si>
  <si>
    <t>Xã An Nội</t>
  </si>
  <si>
    <t>Xã Bình Nghĩa</t>
  </si>
  <si>
    <t>Xã Bồ Đề</t>
  </si>
  <si>
    <t>Xã Đồn Xá</t>
  </si>
  <si>
    <t>Xã Đồng Du</t>
  </si>
  <si>
    <t>Xã Hưng Công</t>
  </si>
  <si>
    <t>Xã La Sơn</t>
  </si>
  <si>
    <t>Xã Mỹ Thọ</t>
  </si>
  <si>
    <t>Xã Trung Lương</t>
  </si>
  <si>
    <t>Xã Vũ Bản</t>
  </si>
  <si>
    <t>Lý Nhân</t>
  </si>
  <si>
    <t>Xã Bắc Lý</t>
  </si>
  <si>
    <t>Xã Công Lý</t>
  </si>
  <si>
    <t>Xã Chân Lý</t>
  </si>
  <si>
    <t>Xã Chính Lý</t>
  </si>
  <si>
    <t>Xã Đạo Lý</t>
  </si>
  <si>
    <t>Xã Đồng Lý</t>
  </si>
  <si>
    <t>Xã Đức Lý</t>
  </si>
  <si>
    <t>Xã Hợp Lý</t>
  </si>
  <si>
    <t>Xã Nguyên Lý</t>
  </si>
  <si>
    <t>Xã Nhân Bình</t>
  </si>
  <si>
    <t>Xã Nhân Chính</t>
  </si>
  <si>
    <t>Xã Nhân Đạo</t>
  </si>
  <si>
    <t>Xã Nhân Hưng</t>
  </si>
  <si>
    <t>Xã Nhân Khang</t>
  </si>
  <si>
    <t>Xã Nhân Nghĩa</t>
  </si>
  <si>
    <t>Xã Phú Phúc</t>
  </si>
  <si>
    <t>Xã Tiến Thắng</t>
  </si>
  <si>
    <t>Xã Văn Lý</t>
  </si>
  <si>
    <t>Xã Xuân Khê</t>
  </si>
  <si>
    <t>Duy Tiên</t>
  </si>
  <si>
    <t>Thị trấn Đồng Văn</t>
  </si>
  <si>
    <t>Thị trấn Hòa Mạc</t>
  </si>
  <si>
    <t>Xã Bạch Thượng</t>
  </si>
  <si>
    <t>Xã Chuyên Ngoại</t>
  </si>
  <si>
    <t>Xã Duy Hải</t>
  </si>
  <si>
    <t>Xã Đọi Sơn</t>
  </si>
  <si>
    <t>Xã Hoàng Đông</t>
  </si>
  <si>
    <t>Xã Mộc Bắc</t>
  </si>
  <si>
    <t>Xã Tiên Ngoại</t>
  </si>
  <si>
    <t>Xã Yên Bắc</t>
  </si>
  <si>
    <t>Thanh Liêm</t>
  </si>
  <si>
    <t>Thị trấn Kiện Khê</t>
  </si>
  <si>
    <t>Xã Liêm Cần</t>
  </si>
  <si>
    <t>Xã Liêm Phong</t>
  </si>
  <si>
    <t>Xã Liêm Sơn</t>
  </si>
  <si>
    <t>Xã Liêm Túc</t>
  </si>
  <si>
    <t>Xã Liêm Thuận</t>
  </si>
  <si>
    <t>Xã Thanh Bình</t>
  </si>
  <si>
    <t>Xã Thanh Hà</t>
  </si>
  <si>
    <t>Xã Thanh Hương</t>
  </si>
  <si>
    <t>Xã Thanh Nghị</t>
  </si>
  <si>
    <t>Xã Thanh Nguyên</t>
  </si>
  <si>
    <t>Xã Thanh Phong</t>
  </si>
  <si>
    <t>Xã Thanh Tâm</t>
  </si>
  <si>
    <t>Xã Thanh Tân</t>
  </si>
  <si>
    <t>TP. Phủ Lý</t>
  </si>
  <si>
    <t>Xã Liêm Chung</t>
  </si>
  <si>
    <t>Xã Trịnh Xá</t>
  </si>
  <si>
    <t>Xã Tiên Tân</t>
  </si>
  <si>
    <t>Xã Tiên Hải</t>
  </si>
  <si>
    <t>Xã Tiên Hiệp</t>
  </si>
  <si>
    <t>Xã Liêm Tiết</t>
  </si>
  <si>
    <t>Kim Bình</t>
  </si>
  <si>
    <t>PHỤ LỤC 8: HIỆN TRẠNG VỆ SINH MÔI TRƯỜNG</t>
  </si>
  <si>
    <t>Kinh phí (tr.đồng)</t>
  </si>
  <si>
    <t>TT Đống Văn</t>
  </si>
  <si>
    <t>TT Kiện Khê</t>
  </si>
  <si>
    <t>1.2.  Dân số năm 2012</t>
  </si>
  <si>
    <t>1.3.  Dân số năm 2013</t>
  </si>
  <si>
    <t>TÌNH HÌNH CẤP NƯỚC năm 2013</t>
  </si>
  <si>
    <t>VỆ SINH năm 2013</t>
  </si>
  <si>
    <t>DỮ LIỆU NGHÈO VÀ DÂN TỘC THIỂU SỐ năm 2013</t>
  </si>
  <si>
    <t xml:space="preserve">4.1.  Số hộ nghèo năm 2013 </t>
  </si>
  <si>
    <t>xã Liêm Phong</t>
  </si>
  <si>
    <t>Xã Liem Phong</t>
  </si>
  <si>
    <r>
      <t>14,96m</t>
    </r>
    <r>
      <rPr>
        <vertAlign val="superscript"/>
        <sz val="12"/>
        <rFont val="Times New Roman"/>
        <family val="1"/>
      </rPr>
      <t>2</t>
    </r>
  </si>
  <si>
    <t> Xã Mộc Nam</t>
  </si>
  <si>
    <t>Doanh nghiệp</t>
  </si>
  <si>
    <t> Công trình: Cụm dân cư Chợ lương</t>
  </si>
  <si>
    <t>Nước ngầm</t>
  </si>
  <si>
    <t> Trạm nước sạch số 1</t>
  </si>
  <si>
    <t>Nước mặt</t>
  </si>
  <si>
    <t>UBND xã</t>
  </si>
  <si>
    <t> Trạm nước sạch số 2</t>
  </si>
  <si>
    <t> Trạm nước sạch số 3</t>
  </si>
  <si>
    <t> Công trình cấp nước sinh hoạt xã Bồ Đề</t>
  </si>
  <si>
    <t>Cộng Đồng</t>
  </si>
  <si>
    <t>TT Bình Mỹ</t>
  </si>
  <si>
    <t>Trạm cấp nước tiểu khu Bình Mỹ</t>
  </si>
  <si>
    <t>Trạm cấp nước thôn Đại Phu</t>
  </si>
  <si>
    <t>Nhà máy nước sạch số 2- Xã An Ninh</t>
  </si>
  <si>
    <t>Huyện kim Bảng</t>
  </si>
  <si>
    <t>CT cấp nước thôn Phương Đàn</t>
  </si>
  <si>
    <t>Xã Nguyễn Uý</t>
  </si>
  <si>
    <t xml:space="preserve"> Trạm cấp nước xóm 2 cát nguyên</t>
  </si>
  <si>
    <t xml:space="preserve"> Trạm cấp nước xóm 6 Đức Mộ</t>
  </si>
  <si>
    <t>Trạm cấp nước thôn Thọ Lão</t>
  </si>
  <si>
    <t>Trạm cấp nước thôn Yên Lão</t>
  </si>
  <si>
    <t xml:space="preserve"> Trạm trung chuyển cấp nước sạch xã thi sơn</t>
  </si>
  <si>
    <t xml:space="preserve"> Xã Thi Sơn</t>
  </si>
  <si>
    <t>T.T Quế</t>
  </si>
  <si>
    <t xml:space="preserve">CT cấp nước tổ 4 </t>
  </si>
  <si>
    <t>Trạm cấp nước số 1</t>
  </si>
  <si>
    <t>Trạm cấp nước số 2</t>
  </si>
  <si>
    <t>Trạm cấp nước số 3</t>
  </si>
  <si>
    <t>CT thôn Văn bối</t>
  </si>
  <si>
    <t>CT thôn Yên Phú</t>
  </si>
  <si>
    <t>CT thôn Siêu Nghệ</t>
  </si>
  <si>
    <t>CT thôn Nhật Tựu</t>
  </si>
  <si>
    <t>Xã Đồng Hoá</t>
  </si>
  <si>
    <t xml:space="preserve">Xã Văn Xá </t>
  </si>
  <si>
    <t xml:space="preserve"> CT cấp nước thôn Chanh</t>
  </si>
  <si>
    <t xml:space="preserve"> CT cấp nước thôn Trung Đồng</t>
  </si>
  <si>
    <t xml:space="preserve"> CT cấp nước thôn  Điền Xá</t>
  </si>
  <si>
    <t xml:space="preserve"> CT cấp nước thôn  Đặng Xá</t>
  </si>
  <si>
    <t xml:space="preserve"> CT cấp nước thôn Đồng Sơn</t>
  </si>
  <si>
    <t xml:space="preserve"> CT cấp nước thôn Do Lễ</t>
  </si>
  <si>
    <t xml:space="preserve"> CT cấp nước thôn Bút Phong</t>
  </si>
  <si>
    <t>T.T Ba Sao</t>
  </si>
  <si>
    <t>Cấp nước tập trung xã Ba Sao</t>
  </si>
  <si>
    <t xml:space="preserve">Nước ngầm </t>
  </si>
  <si>
    <t>Huyện Thanh Liêm</t>
  </si>
  <si>
    <t>CT cấp nước sạch xã T.lưu</t>
  </si>
  <si>
    <t>CT cấp nước Tây Hà</t>
  </si>
  <si>
    <t>CT cấp nước tiểu khu Kiện</t>
  </si>
  <si>
    <t>Xã Thanh Thuỷ</t>
  </si>
  <si>
    <t>CT cấp nước tây đáy</t>
  </si>
  <si>
    <t>CT cấp nước đông đáy</t>
  </si>
  <si>
    <t>CT cấp nước thôn Trung H.Hạ</t>
  </si>
  <si>
    <t>CT cấp nước thôn Cổ Động</t>
  </si>
  <si>
    <t>CT cấp nước xóm 6 Bồng Lạng</t>
  </si>
  <si>
    <t>CT cấp nước thôn Kênh</t>
  </si>
  <si>
    <t>CT cấp nước xóm thượng B. Lạng</t>
  </si>
  <si>
    <t>CT cấp nước sạch Liên Sơn</t>
  </si>
  <si>
    <t>Công trình cấp nước sạch thôn Đại Vượng</t>
  </si>
  <si>
    <t>Huyện Lý Nhân</t>
  </si>
  <si>
    <t>TT Vĩnh Trụ</t>
  </si>
  <si>
    <t>Công ty cổ phần Sông Châu</t>
  </si>
  <si>
    <t>Trạm cấp nước xã Xuân Khê</t>
  </si>
  <si>
    <t>Xã Hoà Hậu</t>
  </si>
  <si>
    <t>Công ty TNHH Tùng Anh</t>
  </si>
  <si>
    <t>Cấp thoát nước xóm 7-8</t>
  </si>
  <si>
    <t>Thành phố Phủ Lý</t>
  </si>
  <si>
    <t>P. Liêm Chính</t>
  </si>
  <si>
    <t xml:space="preserve"> Trạm cấp nước xã Liêm Chính</t>
  </si>
  <si>
    <t>Tỉnh Hà Nam</t>
  </si>
  <si>
    <t>Huyện Bình Lục</t>
  </si>
  <si>
    <t>Tràng An</t>
  </si>
  <si>
    <t>Đồng Du</t>
  </si>
  <si>
    <t>Đồn Xá</t>
  </si>
  <si>
    <t>Tiêu Động</t>
  </si>
  <si>
    <t>An Đổ</t>
  </si>
  <si>
    <t>Bối Cầu</t>
  </si>
  <si>
    <t>An Nội</t>
  </si>
  <si>
    <t>An Ninh</t>
  </si>
  <si>
    <t>Huyện Duy Tiên</t>
  </si>
  <si>
    <t>Xã,tt Đồng Văn</t>
  </si>
  <si>
    <t>XãBạchThượng</t>
  </si>
  <si>
    <t>Xã,tt Hoà Mạc</t>
  </si>
  <si>
    <t>Thanh Lưu</t>
  </si>
  <si>
    <t>Liêm Sơn</t>
  </si>
  <si>
    <t>Thanh Thủy</t>
  </si>
  <si>
    <t>Liêm Cần</t>
  </si>
  <si>
    <t>Kiên Khê</t>
  </si>
  <si>
    <t>Thanh Tâm</t>
  </si>
  <si>
    <t>Thanh Tân</t>
  </si>
  <si>
    <t>Thanh nghị</t>
  </si>
  <si>
    <t>Thanh Hương</t>
  </si>
  <si>
    <t>Thanh Hải</t>
  </si>
  <si>
    <t>Thanh bình</t>
  </si>
  <si>
    <t>Liêm Thuận</t>
  </si>
  <si>
    <t>Liêm Túc</t>
  </si>
  <si>
    <t>Tượng Lĩnh</t>
  </si>
  <si>
    <t>Tân Sơn</t>
  </si>
  <si>
    <t>Thuỵ Lôi</t>
  </si>
  <si>
    <t>Nhật Tân</t>
  </si>
  <si>
    <t>Nhật Tựu</t>
  </si>
  <si>
    <t>Đồng Hoá</t>
  </si>
  <si>
    <t>Hoàng Tây</t>
  </si>
  <si>
    <t>Ba Sao</t>
  </si>
  <si>
    <t>Liên Sơn</t>
  </si>
  <si>
    <t>Thi Sơn</t>
  </si>
  <si>
    <t>Chính Lý</t>
  </si>
  <si>
    <t xml:space="preserve">Văn Lý </t>
  </si>
  <si>
    <t>Nguyên Lý</t>
  </si>
  <si>
    <t>Công Lý</t>
  </si>
  <si>
    <t>Nhân Khang</t>
  </si>
  <si>
    <t>Nhân Chính</t>
  </si>
  <si>
    <t>Nhân Bình</t>
  </si>
  <si>
    <t>Nhân Mỹ</t>
  </si>
  <si>
    <t>Phú Phúc</t>
  </si>
  <si>
    <t>Nhân Thịnh</t>
  </si>
  <si>
    <t>Nhân Hưng</t>
  </si>
  <si>
    <t>Nhân Đạo</t>
  </si>
  <si>
    <t>Chân Lý</t>
  </si>
  <si>
    <t>Đạo Lý</t>
  </si>
  <si>
    <t>Bắc Lý</t>
  </si>
  <si>
    <t>Đức Lý</t>
  </si>
  <si>
    <t>Xã Liêm tuyền</t>
  </si>
  <si>
    <t>Xã Trịnh Xã</t>
  </si>
  <si>
    <t>Xã Kim Bình</t>
  </si>
  <si>
    <r>
      <t>Biểu số 1.4: TỔNG HỢP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SỐ LIỆU CẤP NƯỚC HỘ GIA ĐÌNH</t>
    </r>
  </si>
  <si>
    <t>PHỤ LỤC 7: HIỆN TRẠNG SỬ DỤNG NƯỚC</t>
  </si>
  <si>
    <t>PHỤ LỤC 6: DANH SÁCH CÁC CÔNG TRÌNH CẤP NƯỚC TẬP TRUNG ĐÃ XÂY DỰNG</t>
  </si>
  <si>
    <t>2014-2015</t>
  </si>
  <si>
    <t>2014-2105</t>
  </si>
  <si>
    <t>C.nước</t>
  </si>
  <si>
    <t>VS</t>
  </si>
  <si>
    <t>Ứng năm 2014</t>
  </si>
  <si>
    <t>Tổng vốnWB</t>
  </si>
  <si>
    <t>Tong</t>
  </si>
  <si>
    <t>con lai</t>
  </si>
  <si>
    <t>binh quan</t>
  </si>
  <si>
    <t>Dân đóng góp</t>
  </si>
  <si>
    <t>Dự án Vệ sinh môi trường</t>
  </si>
  <si>
    <t>D</t>
  </si>
  <si>
    <t>Dự án cấp nước xã Nguyên Lý huyện Lý Nhân (GĐI)</t>
  </si>
  <si>
    <t>Dự án Đọi Sơn, Yên Nam, Tiên Hiệp huyện Duy Tiên (GĐI)</t>
  </si>
  <si>
    <t>Dự án nước sạch Đồng Tâm xã Thanh Phong huyện Thanh Liêm (GĐI)</t>
  </si>
  <si>
    <t>BIỂU 5: KẾ HOẠCH THỰC HIỆN CÁC DỰ ÁN THUỘC CHƯƠNG TRÌNH MỤC TIÊU QUỐC GIA SỬ DỤNG NGUỒN NSNN</t>
  </si>
  <si>
    <t>Dự án cấp nước xã Thanh Phong (GĐI)</t>
  </si>
  <si>
    <t>Dự án cấp nước xã Nguyên Lý (GĐI)</t>
  </si>
  <si>
    <t>Dự án cấp nước xã Đọi Sơn (GĐI)</t>
  </si>
  <si>
    <t>Dự án cấp nước  13 xã Kim Bảng (GĐI)</t>
  </si>
  <si>
    <t>K Bình</t>
  </si>
  <si>
    <t>2011-2014</t>
  </si>
  <si>
    <t>DA hỗ trợ có mục tiêu của Chính phủ</t>
  </si>
  <si>
    <t>THCS xã Văn Lý</t>
  </si>
  <si>
    <t xml:space="preserve">THCS Chuyên Ngoại </t>
  </si>
  <si>
    <t>Tiểu học Chuyên Ngoại</t>
  </si>
  <si>
    <t xml:space="preserve">THCS xã Liêm Phong </t>
  </si>
  <si>
    <t>Mần non Liêm Phong</t>
  </si>
  <si>
    <t xml:space="preserve">Tiểu học Liêm Phong </t>
  </si>
  <si>
    <t>Tiểu học A Lê Hồ</t>
  </si>
  <si>
    <t>Tiểu học Văn Lý</t>
  </si>
  <si>
    <t>Mần non Bồ Đề</t>
  </si>
  <si>
    <t>THCS Bồ Đề</t>
  </si>
  <si>
    <t>Công trình cấp nước</t>
  </si>
  <si>
    <t>Dự án cấp nước xã Thanh Nguyên</t>
  </si>
  <si>
    <t>……</t>
  </si>
  <si>
    <t>PHỤ LỤC 5: TIẾN ĐỘ THỰC HIỆN CÁC DỰ ÁN CẤP NƯỚC</t>
  </si>
  <si>
    <t>Thời gian xây dựng công trình và đấu nối nước:</t>
  </si>
  <si>
    <t>Dự án cấp nước 13 xã Kim Bảng (GĐI)</t>
  </si>
  <si>
    <t>UBND huyện KB</t>
  </si>
  <si>
    <t>Nguồn vốn hỗ trợ có mục tiêu của Chính Phủ</t>
  </si>
  <si>
    <t>PHỤ LỤC 4: KẾ HOẠCH MỤC TIÊU VỆ SINH (DLI 1.2 VÀ 2.2)</t>
  </si>
  <si>
    <t>Không có</t>
  </si>
  <si>
    <t>0</t>
  </si>
  <si>
    <t>Ngừng hoạt động</t>
  </si>
  <si>
    <t>CT cấp nước sạch thôn Mọc Tòng</t>
  </si>
  <si>
    <t>Trạm cấp nước chợ Chanh</t>
  </si>
  <si>
    <t>Trạm cấp nước xã Phú Phúc</t>
  </si>
  <si>
    <t xml:space="preserve"> Trạm trung chuyển cấp nước sạch xã thanh sơn</t>
  </si>
  <si>
    <t xml:space="preserve">Nhà máy nước sạch khu C  (Tại xã Hưng Công) 
</t>
  </si>
  <si>
    <t xml:space="preserve">Nhà máy nước sạch 4 xã khu B (Tại xã An Đổ)   
</t>
  </si>
  <si>
    <t> Công trình: Nước sạch Duy Tiên</t>
  </si>
  <si>
    <t xml:space="preserve">Nước  mặt
</t>
  </si>
  <si>
    <t>(Kèm theo Kế hoạch số 02/KH-NS&amp;VSMT ngày 05/3/2014 của Sở Nông nghiệp và PTNT)</t>
  </si>
  <si>
    <r>
      <t xml:space="preserve">BIỂU 3: TÌNH HÌNH THỰC HIỆN CÁC DỰ ÁN THUỘC CÁC CHƯƠNG TRÌNH MỤC TIÊU QUỐC GIA  SỬ DỤNG VỐN ĐTPT NGUỒN NSNN KẾ HOẠCH NĂM 2013 VÀ NHU CẦU NĂM 2014
</t>
    </r>
    <r>
      <rPr>
        <sz val="12"/>
        <rFont val="Times New Roman"/>
        <family val="1"/>
      </rPr>
      <t>(Kèm theo Kế hoạch số 02/KH-NS&amp;VSMT ngày 05/3/2014 của Sở Nông nghiệp và PTNT)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</si>
</sst>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0;[Red]0"/>
    <numFmt numFmtId="168" formatCode="#,##0.0;[Red]#,##0.0"/>
    <numFmt numFmtId="169" formatCode="#,##0.00;[Red]#,##0.00"/>
    <numFmt numFmtId="170" formatCode="#,##0.000;[Red]#,##0.000"/>
    <numFmt numFmtId="171" formatCode="#,##0.000"/>
    <numFmt numFmtId="172" formatCode="#,##0.0000;[Red]#,##0.0000"/>
    <numFmt numFmtId="173" formatCode="0.000"/>
    <numFmt numFmtId="174" formatCode="0.0000"/>
    <numFmt numFmtId="175" formatCode="0.00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??_);_(@_)"/>
    <numFmt numFmtId="182" formatCode="_(* #,##0.0_);_(* \(#,##0.0\);_(* &quot;-&quot;??_);_(@_)"/>
    <numFmt numFmtId="183" formatCode="_(* #,##0.000_);_(* \(#,##0.000\);_(* &quot;-&quot;??_);_(@_)"/>
    <numFmt numFmtId="184" formatCode="_(* #,##0.0_);_(* \(#,##0.0\);_(* &quot;-&quot;?_);_(@_)"/>
    <numFmt numFmtId="185" formatCode="0.0%"/>
    <numFmt numFmtId="186" formatCode="0;0%"/>
    <numFmt numFmtId="187" formatCode="0;0"/>
    <numFmt numFmtId="188" formatCode="_-* #,##0.00\ _₫_-;\-* #,##0.00\ _₫_-;_-* &quot;-&quot;??\ _₫_-;_-@_-"/>
  </numFmts>
  <fonts count="8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.VnTime"/>
      <family val="2"/>
    </font>
    <font>
      <b/>
      <sz val="13"/>
      <name val=".VnTime"/>
      <family val="2"/>
    </font>
    <font>
      <sz val="13"/>
      <color indexed="10"/>
      <name val=".VnTime"/>
      <family val="2"/>
    </font>
    <font>
      <b/>
      <sz val="9"/>
      <name val=".VnTime"/>
      <family val="2"/>
    </font>
    <font>
      <b/>
      <u val="single"/>
      <sz val="13"/>
      <name val=".VnTime"/>
      <family val="2"/>
    </font>
    <font>
      <u val="single"/>
      <sz val="13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8"/>
      <color indexed="8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b/>
      <sz val="8"/>
      <color indexed="3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vertAlign val="superscript"/>
      <sz val="12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sz val="8"/>
      <name val=".VnTime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12"/>
      <name val=".VnTime"/>
      <family val="0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.5"/>
      <name val="Times New Roman"/>
      <family val="1"/>
    </font>
    <font>
      <b/>
      <sz val="7.5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3" fontId="14" fillId="0" borderId="0" xfId="0" applyNumberFormat="1" applyFont="1" applyAlignment="1">
      <alignment/>
    </xf>
    <xf numFmtId="3" fontId="19" fillId="0" borderId="0" xfId="62" applyNumberFormat="1" applyFont="1" applyFill="1" applyAlignment="1">
      <alignment horizontal="center" vertical="center"/>
      <protection/>
    </xf>
    <xf numFmtId="1" fontId="20" fillId="0" borderId="0" xfId="62" applyNumberFormat="1" applyFont="1" applyFill="1" applyAlignment="1">
      <alignment vertical="center"/>
      <protection/>
    </xf>
    <xf numFmtId="3" fontId="22" fillId="0" borderId="0" xfId="62" applyNumberFormat="1" applyFont="1" applyFill="1" applyAlignment="1">
      <alignment horizontal="center" vertical="center"/>
      <protection/>
    </xf>
    <xf numFmtId="1" fontId="23" fillId="0" borderId="0" xfId="62" applyNumberFormat="1" applyFont="1" applyFill="1" applyAlignment="1">
      <alignment vertical="center"/>
      <protection/>
    </xf>
    <xf numFmtId="3" fontId="20" fillId="0" borderId="10" xfId="62" applyNumberFormat="1" applyFont="1" applyFill="1" applyBorder="1" applyAlignment="1">
      <alignment horizontal="center" vertical="center" wrapText="1"/>
      <protection/>
    </xf>
    <xf numFmtId="3" fontId="19" fillId="0" borderId="0" xfId="62" applyNumberFormat="1" applyFont="1" applyBorder="1" applyAlignment="1">
      <alignment horizontal="center" vertical="center" wrapText="1"/>
      <protection/>
    </xf>
    <xf numFmtId="3" fontId="20" fillId="0" borderId="10" xfId="62" applyNumberFormat="1" applyFont="1" applyFill="1" applyBorder="1" applyAlignment="1" quotePrefix="1">
      <alignment horizontal="center" vertical="center" wrapText="1"/>
      <protection/>
    </xf>
    <xf numFmtId="3" fontId="20" fillId="0" borderId="0" xfId="62" applyNumberFormat="1" applyFont="1" applyFill="1" applyBorder="1" applyAlignment="1">
      <alignment vertical="center" wrapText="1"/>
      <protection/>
    </xf>
    <xf numFmtId="1" fontId="20" fillId="0" borderId="13" xfId="62" applyNumberFormat="1" applyFont="1" applyFill="1" applyBorder="1" applyAlignment="1">
      <alignment horizontal="center" vertical="center"/>
      <protection/>
    </xf>
    <xf numFmtId="1" fontId="19" fillId="0" borderId="13" xfId="62" applyNumberFormat="1" applyFont="1" applyFill="1" applyBorder="1" applyAlignment="1">
      <alignment horizontal="center" vertical="center" wrapText="1"/>
      <protection/>
    </xf>
    <xf numFmtId="1" fontId="19" fillId="0" borderId="13" xfId="62" applyNumberFormat="1" applyFont="1" applyFill="1" applyBorder="1" applyAlignment="1">
      <alignment horizontal="right" vertical="center"/>
      <protection/>
    </xf>
    <xf numFmtId="166" fontId="19" fillId="0" borderId="13" xfId="62" applyNumberFormat="1" applyFont="1" applyFill="1" applyBorder="1" applyAlignment="1">
      <alignment horizontal="right" vertical="center"/>
      <protection/>
    </xf>
    <xf numFmtId="3" fontId="28" fillId="0" borderId="0" xfId="62" applyNumberFormat="1" applyFont="1" applyFill="1" applyAlignment="1">
      <alignment horizontal="center" vertical="center"/>
      <protection/>
    </xf>
    <xf numFmtId="1" fontId="19" fillId="0" borderId="12" xfId="62" applyNumberFormat="1" applyFont="1" applyFill="1" applyBorder="1" applyAlignment="1">
      <alignment horizontal="center" vertical="center"/>
      <protection/>
    </xf>
    <xf numFmtId="1" fontId="19" fillId="0" borderId="12" xfId="62" applyNumberFormat="1" applyFont="1" applyFill="1" applyBorder="1" applyAlignment="1">
      <alignment horizontal="center" vertical="center" wrapText="1"/>
      <protection/>
    </xf>
    <xf numFmtId="1" fontId="19" fillId="0" borderId="12" xfId="62" applyNumberFormat="1" applyFont="1" applyFill="1" applyBorder="1" applyAlignment="1">
      <alignment horizontal="right" vertical="center"/>
      <protection/>
    </xf>
    <xf numFmtId="1" fontId="19" fillId="0" borderId="0" xfId="62" applyNumberFormat="1" applyFont="1" applyFill="1" applyAlignment="1">
      <alignment vertical="center"/>
      <protection/>
    </xf>
    <xf numFmtId="1" fontId="24" fillId="0" borderId="12" xfId="62" applyNumberFormat="1" applyFont="1" applyFill="1" applyBorder="1" applyAlignment="1">
      <alignment horizontal="center" vertical="center" wrapText="1"/>
      <protection/>
    </xf>
    <xf numFmtId="1" fontId="24" fillId="0" borderId="12" xfId="62" applyNumberFormat="1" applyFont="1" applyFill="1" applyBorder="1" applyAlignment="1">
      <alignment horizontal="right" vertical="center"/>
      <protection/>
    </xf>
    <xf numFmtId="166" fontId="19" fillId="0" borderId="12" xfId="62" applyNumberFormat="1" applyFont="1" applyFill="1" applyBorder="1" applyAlignment="1">
      <alignment horizontal="right" vertical="center"/>
      <protection/>
    </xf>
    <xf numFmtId="1" fontId="25" fillId="0" borderId="12" xfId="62" applyNumberFormat="1" applyFont="1" applyFill="1" applyBorder="1" applyAlignment="1">
      <alignment horizontal="right" vertical="center"/>
      <protection/>
    </xf>
    <xf numFmtId="3" fontId="24" fillId="0" borderId="0" xfId="62" applyNumberFormat="1" applyFont="1" applyFill="1" applyAlignment="1">
      <alignment horizontal="center" vertical="center"/>
      <protection/>
    </xf>
    <xf numFmtId="1" fontId="24" fillId="0" borderId="0" xfId="62" applyNumberFormat="1" applyFont="1" applyFill="1" applyAlignment="1">
      <alignment vertical="center"/>
      <protection/>
    </xf>
    <xf numFmtId="1" fontId="20" fillId="0" borderId="12" xfId="62" applyNumberFormat="1" applyFont="1" applyFill="1" applyBorder="1" applyAlignment="1">
      <alignment horizontal="center" vertical="center"/>
      <protection/>
    </xf>
    <xf numFmtId="1" fontId="20" fillId="0" borderId="12" xfId="62" applyNumberFormat="1" applyFont="1" applyFill="1" applyBorder="1" applyAlignment="1">
      <alignment horizontal="center" vertical="center" wrapText="1"/>
      <protection/>
    </xf>
    <xf numFmtId="1" fontId="20" fillId="0" borderId="12" xfId="62" applyNumberFormat="1" applyFont="1" applyFill="1" applyBorder="1" applyAlignment="1">
      <alignment horizontal="right" vertical="center"/>
      <protection/>
    </xf>
    <xf numFmtId="1" fontId="24" fillId="0" borderId="12" xfId="62" applyNumberFormat="1" applyFont="1" applyFill="1" applyBorder="1" applyAlignment="1">
      <alignment horizontal="center" vertical="center"/>
      <protection/>
    </xf>
    <xf numFmtId="1" fontId="20" fillId="0" borderId="12" xfId="62" applyNumberFormat="1" applyFont="1" applyFill="1" applyBorder="1" applyAlignment="1">
      <alignment vertical="center" wrapText="1"/>
      <protection/>
    </xf>
    <xf numFmtId="166" fontId="20" fillId="0" borderId="12" xfId="62" applyNumberFormat="1" applyFont="1" applyFill="1" applyBorder="1" applyAlignment="1">
      <alignment horizontal="right" vertical="center" wrapText="1"/>
      <protection/>
    </xf>
    <xf numFmtId="3" fontId="58" fillId="0" borderId="0" xfId="62" applyNumberFormat="1" applyFont="1" applyFill="1" applyAlignment="1">
      <alignment horizontal="center" vertical="center" wrapText="1"/>
      <protection/>
    </xf>
    <xf numFmtId="166" fontId="24" fillId="0" borderId="12" xfId="62" applyNumberFormat="1" applyFont="1" applyFill="1" applyBorder="1" applyAlignment="1">
      <alignment horizontal="right" vertical="center"/>
      <protection/>
    </xf>
    <xf numFmtId="166" fontId="19" fillId="0" borderId="12" xfId="62" applyNumberFormat="1" applyFont="1" applyFill="1" applyBorder="1" applyAlignment="1">
      <alignment horizontal="right" vertical="center" wrapText="1"/>
      <protection/>
    </xf>
    <xf numFmtId="166" fontId="20" fillId="0" borderId="12" xfId="62" applyNumberFormat="1" applyFont="1" applyFill="1" applyBorder="1" applyAlignment="1">
      <alignment horizontal="right" vertical="center"/>
      <protection/>
    </xf>
    <xf numFmtId="3" fontId="28" fillId="0" borderId="0" xfId="62" applyNumberFormat="1" applyFont="1" applyFill="1" applyAlignment="1">
      <alignment horizontal="center" vertical="center"/>
      <protection/>
    </xf>
    <xf numFmtId="3" fontId="19" fillId="0" borderId="0" xfId="62" applyNumberFormat="1" applyFont="1" applyFill="1" applyBorder="1" applyAlignment="1">
      <alignment horizontal="center" vertical="center"/>
      <protection/>
    </xf>
    <xf numFmtId="1" fontId="20" fillId="0" borderId="0" xfId="62" applyNumberFormat="1" applyFont="1" applyFill="1" applyBorder="1" applyAlignment="1">
      <alignment vertical="center"/>
      <protection/>
    </xf>
    <xf numFmtId="1" fontId="20" fillId="0" borderId="0" xfId="62" applyNumberFormat="1" applyFont="1" applyFill="1" applyAlignment="1">
      <alignment horizontal="center" vertical="center"/>
      <protection/>
    </xf>
    <xf numFmtId="1" fontId="20" fillId="0" borderId="0" xfId="62" applyNumberFormat="1" applyFont="1" applyFill="1" applyAlignment="1">
      <alignment vertical="center" wrapText="1"/>
      <protection/>
    </xf>
    <xf numFmtId="1" fontId="20" fillId="0" borderId="0" xfId="62" applyNumberFormat="1" applyFont="1" applyFill="1" applyAlignment="1">
      <alignment horizontal="center" vertical="center" wrapText="1"/>
      <protection/>
    </xf>
    <xf numFmtId="1" fontId="20" fillId="0" borderId="0" xfId="62" applyNumberFormat="1" applyFont="1" applyFill="1" applyAlignment="1">
      <alignment horizontal="right" vertical="center"/>
      <protection/>
    </xf>
    <xf numFmtId="168" fontId="20" fillId="0" borderId="12" xfId="62" applyNumberFormat="1" applyFont="1" applyFill="1" applyBorder="1" applyAlignment="1">
      <alignment horizontal="right" vertical="center" wrapText="1"/>
      <protection/>
    </xf>
    <xf numFmtId="169" fontId="20" fillId="0" borderId="12" xfId="62" applyNumberFormat="1" applyFont="1" applyFill="1" applyBorder="1" applyAlignment="1">
      <alignment horizontal="right" vertical="center" wrapText="1"/>
      <protection/>
    </xf>
    <xf numFmtId="168" fontId="24" fillId="0" borderId="12" xfId="62" applyNumberFormat="1" applyFont="1" applyFill="1" applyBorder="1" applyAlignment="1">
      <alignment horizontal="right" vertical="center"/>
      <protection/>
    </xf>
    <xf numFmtId="1" fontId="19" fillId="0" borderId="12" xfId="62" applyNumberFormat="1" applyFont="1" applyFill="1" applyBorder="1" applyAlignment="1">
      <alignment vertical="center" wrapText="1"/>
      <protection/>
    </xf>
    <xf numFmtId="168" fontId="19" fillId="0" borderId="12" xfId="62" applyNumberFormat="1" applyFont="1" applyFill="1" applyBorder="1" applyAlignment="1">
      <alignment horizontal="right" vertical="center" wrapText="1"/>
      <protection/>
    </xf>
    <xf numFmtId="0" fontId="29" fillId="0" borderId="12" xfId="0" applyFont="1" applyBorder="1" applyAlignment="1">
      <alignment/>
    </xf>
    <xf numFmtId="1" fontId="20" fillId="0" borderId="12" xfId="62" applyNumberFormat="1" applyFont="1" applyFill="1" applyBorder="1" applyAlignment="1">
      <alignment vertical="center"/>
      <protection/>
    </xf>
    <xf numFmtId="170" fontId="20" fillId="0" borderId="12" xfId="62" applyNumberFormat="1" applyFont="1" applyFill="1" applyBorder="1" applyAlignment="1">
      <alignment horizontal="center" vertical="center" wrapText="1"/>
      <protection/>
    </xf>
    <xf numFmtId="166" fontId="20" fillId="0" borderId="12" xfId="62" applyNumberFormat="1" applyFont="1" applyFill="1" applyBorder="1" applyAlignment="1">
      <alignment horizontal="center" vertical="center" wrapText="1"/>
      <protection/>
    </xf>
    <xf numFmtId="166" fontId="19" fillId="0" borderId="12" xfId="62" applyNumberFormat="1" applyFont="1" applyFill="1" applyBorder="1" applyAlignment="1">
      <alignment horizontal="center" vertical="center" wrapText="1"/>
      <protection/>
    </xf>
    <xf numFmtId="166" fontId="20" fillId="0" borderId="12" xfId="62" applyNumberFormat="1" applyFont="1" applyFill="1" applyBorder="1" applyAlignment="1">
      <alignment horizontal="center" vertical="center"/>
      <protection/>
    </xf>
    <xf numFmtId="0" fontId="29" fillId="0" borderId="12" xfId="0" applyFont="1" applyFill="1" applyBorder="1" applyAlignment="1">
      <alignment wrapText="1"/>
    </xf>
    <xf numFmtId="171" fontId="19" fillId="0" borderId="0" xfId="62" applyNumberFormat="1" applyFont="1" applyFill="1" applyAlignment="1">
      <alignment horizontal="center" vertical="center"/>
      <protection/>
    </xf>
    <xf numFmtId="168" fontId="19" fillId="0" borderId="12" xfId="62" applyNumberFormat="1" applyFont="1" applyFill="1" applyBorder="1" applyAlignment="1">
      <alignment horizontal="right" vertical="center"/>
      <protection/>
    </xf>
    <xf numFmtId="167" fontId="20" fillId="0" borderId="12" xfId="62" applyNumberFormat="1" applyFont="1" applyFill="1" applyBorder="1" applyAlignment="1">
      <alignment horizontal="right" vertical="center" wrapText="1"/>
      <protection/>
    </xf>
    <xf numFmtId="0" fontId="4" fillId="0" borderId="14" xfId="0" applyFont="1" applyBorder="1" applyAlignment="1">
      <alignment horizontal="left" vertical="center" wrapText="1"/>
    </xf>
    <xf numFmtId="1" fontId="20" fillId="0" borderId="0" xfId="62" applyNumberFormat="1" applyFont="1" applyFill="1" applyAlignment="1">
      <alignment horizontal="left" vertical="center" wrapText="1"/>
      <protection/>
    </xf>
    <xf numFmtId="1" fontId="27" fillId="0" borderId="12" xfId="62" applyNumberFormat="1" applyFont="1" applyFill="1" applyBorder="1" applyAlignment="1">
      <alignment horizontal="left" vertical="center" wrapText="1"/>
      <protection/>
    </xf>
    <xf numFmtId="3" fontId="22" fillId="0" borderId="0" xfId="62" applyNumberFormat="1" applyFont="1" applyFill="1" applyAlignment="1">
      <alignment vertical="center"/>
      <protection/>
    </xf>
    <xf numFmtId="166" fontId="19" fillId="0" borderId="12" xfId="62" applyNumberFormat="1" applyFont="1" applyFill="1" applyBorder="1" applyAlignment="1">
      <alignment vertical="center" wrapText="1"/>
      <protection/>
    </xf>
    <xf numFmtId="1" fontId="60" fillId="0" borderId="0" xfId="62" applyNumberFormat="1" applyFont="1" applyFill="1" applyAlignment="1">
      <alignment vertical="center"/>
      <protection/>
    </xf>
    <xf numFmtId="3" fontId="20" fillId="0" borderId="12" xfId="6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59" fillId="0" borderId="0" xfId="62" applyNumberFormat="1" applyFont="1" applyFill="1" applyAlignment="1">
      <alignment vertical="center"/>
      <protection/>
    </xf>
    <xf numFmtId="1" fontId="20" fillId="0" borderId="15" xfId="62" applyNumberFormat="1" applyFont="1" applyFill="1" applyBorder="1" applyAlignment="1">
      <alignment horizontal="right" vertical="center"/>
      <protection/>
    </xf>
    <xf numFmtId="169" fontId="19" fillId="0" borderId="12" xfId="62" applyNumberFormat="1" applyFont="1" applyFill="1" applyBorder="1" applyAlignment="1">
      <alignment horizontal="right" vertical="center"/>
      <protection/>
    </xf>
    <xf numFmtId="169" fontId="19" fillId="0" borderId="12" xfId="62" applyNumberFormat="1" applyFont="1" applyFill="1" applyBorder="1" applyAlignment="1">
      <alignment horizontal="center" vertical="center" wrapText="1"/>
      <protection/>
    </xf>
    <xf numFmtId="169" fontId="19" fillId="0" borderId="12" xfId="62" applyNumberFormat="1" applyFont="1" applyFill="1" applyBorder="1" applyAlignment="1">
      <alignment horizontal="right" vertical="center" wrapText="1"/>
      <protection/>
    </xf>
    <xf numFmtId="3" fontId="19" fillId="0" borderId="12" xfId="62" applyNumberFormat="1" applyFont="1" applyFill="1" applyBorder="1" applyAlignment="1">
      <alignment horizontal="right" vertical="center"/>
      <protection/>
    </xf>
    <xf numFmtId="3" fontId="20" fillId="0" borderId="12" xfId="62" applyNumberFormat="1" applyFont="1" applyFill="1" applyBorder="1" applyAlignment="1">
      <alignment horizontal="right" vertical="center"/>
      <protection/>
    </xf>
    <xf numFmtId="3" fontId="24" fillId="0" borderId="12" xfId="62" applyNumberFormat="1" applyFont="1" applyFill="1" applyBorder="1" applyAlignment="1">
      <alignment horizontal="right" vertical="center"/>
      <protection/>
    </xf>
    <xf numFmtId="3" fontId="19" fillId="0" borderId="12" xfId="62" applyNumberFormat="1" applyFont="1" applyFill="1" applyBorder="1" applyAlignment="1">
      <alignment horizontal="right" vertical="center" wrapText="1"/>
      <protection/>
    </xf>
    <xf numFmtId="3" fontId="20" fillId="0" borderId="12" xfId="62" applyNumberFormat="1" applyFont="1" applyFill="1" applyBorder="1" applyAlignment="1">
      <alignment vertical="center" wrapText="1"/>
      <protection/>
    </xf>
    <xf numFmtId="3" fontId="20" fillId="0" borderId="0" xfId="62" applyNumberFormat="1" applyFont="1" applyFill="1" applyAlignment="1">
      <alignment vertical="center" wrapText="1"/>
      <protection/>
    </xf>
    <xf numFmtId="3" fontId="20" fillId="0" borderId="0" xfId="62" applyNumberFormat="1" applyFont="1" applyFill="1" applyAlignment="1">
      <alignment horizontal="right" vertical="center"/>
      <protection/>
    </xf>
    <xf numFmtId="1" fontId="24" fillId="0" borderId="12" xfId="62" applyNumberFormat="1" applyFont="1" applyFill="1" applyBorder="1" applyAlignment="1">
      <alignment vertical="center" wrapText="1"/>
      <protection/>
    </xf>
    <xf numFmtId="49" fontId="20" fillId="0" borderId="12" xfId="62" applyNumberFormat="1" applyFont="1" applyFill="1" applyBorder="1" applyAlignment="1">
      <alignment vertical="center" wrapText="1"/>
      <protection/>
    </xf>
    <xf numFmtId="166" fontId="19" fillId="0" borderId="12" xfId="62" applyNumberFormat="1" applyFont="1" applyFill="1" applyBorder="1" applyAlignment="1">
      <alignment horizontal="center" vertical="center"/>
      <protection/>
    </xf>
    <xf numFmtId="173" fontId="20" fillId="0" borderId="12" xfId="62" applyNumberFormat="1" applyFont="1" applyFill="1" applyBorder="1" applyAlignment="1">
      <alignment horizontal="right" vertical="center"/>
      <protection/>
    </xf>
    <xf numFmtId="2" fontId="20" fillId="0" borderId="0" xfId="62" applyNumberFormat="1" applyFont="1" applyFill="1" applyAlignment="1">
      <alignment vertical="center"/>
      <protection/>
    </xf>
    <xf numFmtId="0" fontId="4" fillId="0" borderId="14" xfId="0" applyFont="1" applyBorder="1" applyAlignment="1">
      <alignment horizontal="center" vertical="center"/>
    </xf>
    <xf numFmtId="3" fontId="20" fillId="0" borderId="0" xfId="62" applyNumberFormat="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33" fillId="0" borderId="13" xfId="0" applyFont="1" applyBorder="1" applyAlignment="1">
      <alignment horizontal="center" vertical="center"/>
    </xf>
    <xf numFmtId="49" fontId="33" fillId="0" borderId="16" xfId="63" applyNumberFormat="1" applyFont="1" applyBorder="1" applyAlignment="1">
      <alignment vertical="center"/>
      <protection/>
    </xf>
    <xf numFmtId="3" fontId="33" fillId="0" borderId="11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vertic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34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29" fillId="0" borderId="21" xfId="0" applyNumberFormat="1" applyFont="1" applyBorder="1" applyAlignment="1">
      <alignment vertical="center" wrapText="1"/>
    </xf>
    <xf numFmtId="4" fontId="34" fillId="0" borderId="12" xfId="0" applyNumberFormat="1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164" fontId="29" fillId="0" borderId="12" xfId="0" applyNumberFormat="1" applyFont="1" applyBorder="1" applyAlignment="1">
      <alignment vertical="center"/>
    </xf>
    <xf numFmtId="164" fontId="29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49" fontId="33" fillId="0" borderId="16" xfId="63" applyNumberFormat="1" applyFont="1" applyBorder="1" applyAlignment="1">
      <alignment vertical="center" wrapText="1"/>
      <protection/>
    </xf>
    <xf numFmtId="4" fontId="29" fillId="0" borderId="13" xfId="0" applyNumberFormat="1" applyFont="1" applyBorder="1" applyAlignment="1">
      <alignment vertical="center"/>
    </xf>
    <xf numFmtId="164" fontId="29" fillId="0" borderId="13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3" fontId="29" fillId="0" borderId="12" xfId="0" applyNumberFormat="1" applyFont="1" applyFill="1" applyBorder="1" applyAlignment="1">
      <alignment horizontal="right" vertical="center"/>
    </xf>
    <xf numFmtId="0" fontId="29" fillId="0" borderId="12" xfId="0" applyNumberFormat="1" applyFont="1" applyBorder="1" applyAlignment="1">
      <alignment vertical="center" wrapText="1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4" fillId="0" borderId="0" xfId="0" applyFont="1" applyAlignment="1">
      <alignment vertical="center"/>
    </xf>
    <xf numFmtId="164" fontId="29" fillId="0" borderId="12" xfId="0" applyNumberFormat="1" applyFont="1" applyBorder="1" applyAlignment="1">
      <alignment horizontal="right" vertical="center"/>
    </xf>
    <xf numFmtId="3" fontId="35" fillId="0" borderId="12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horizontal="right" vertical="center"/>
    </xf>
    <xf numFmtId="0" fontId="29" fillId="0" borderId="14" xfId="0" applyNumberFormat="1" applyFont="1" applyBorder="1" applyAlignment="1">
      <alignment vertical="center" wrapText="1"/>
    </xf>
    <xf numFmtId="3" fontId="29" fillId="0" borderId="15" xfId="0" applyNumberFormat="1" applyFont="1" applyFill="1" applyBorder="1" applyAlignment="1">
      <alignment horizontal="right" vertical="center"/>
    </xf>
    <xf numFmtId="164" fontId="29" fillId="0" borderId="15" xfId="0" applyNumberFormat="1" applyFont="1" applyBorder="1" applyAlignment="1">
      <alignment horizontal="right"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3" fontId="29" fillId="0" borderId="12" xfId="0" applyNumberFormat="1" applyFont="1" applyBorder="1" applyAlignment="1">
      <alignment horizontal="right" vertical="center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181" fontId="63" fillId="0" borderId="0" xfId="42" applyNumberFormat="1" applyFont="1" applyAlignment="1">
      <alignment vertical="center"/>
    </xf>
    <xf numFmtId="0" fontId="6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61" applyFont="1">
      <alignment/>
      <protection/>
    </xf>
    <xf numFmtId="0" fontId="34" fillId="0" borderId="0" xfId="61" applyFont="1">
      <alignment/>
      <protection/>
    </xf>
    <xf numFmtId="0" fontId="36" fillId="0" borderId="0" xfId="61" applyFont="1">
      <alignment/>
      <protection/>
    </xf>
    <xf numFmtId="0" fontId="71" fillId="0" borderId="0" xfId="61" applyFont="1" applyBorder="1" applyAlignment="1">
      <alignment horizontal="left"/>
      <protection/>
    </xf>
    <xf numFmtId="0" fontId="0" fillId="0" borderId="0" xfId="61" applyFont="1" applyBorder="1">
      <alignment/>
      <protection/>
    </xf>
    <xf numFmtId="0" fontId="71" fillId="0" borderId="0" xfId="61" applyFont="1" applyBorder="1">
      <alignment/>
      <protection/>
    </xf>
    <xf numFmtId="0" fontId="34" fillId="0" borderId="0" xfId="61" applyFont="1" applyBorder="1">
      <alignment/>
      <protection/>
    </xf>
    <xf numFmtId="0" fontId="35" fillId="0" borderId="0" xfId="61" applyFont="1" applyBorder="1">
      <alignment/>
      <protection/>
    </xf>
    <xf numFmtId="3" fontId="7" fillId="0" borderId="10" xfId="0" applyNumberFormat="1" applyFont="1" applyBorder="1" applyAlignment="1">
      <alignment/>
    </xf>
    <xf numFmtId="0" fontId="29" fillId="0" borderId="31" xfId="0" applyNumberFormat="1" applyFont="1" applyBorder="1" applyAlignment="1" quotePrefix="1">
      <alignment vertical="center" wrapText="1"/>
    </xf>
    <xf numFmtId="0" fontId="29" fillId="0" borderId="12" xfId="0" applyNumberFormat="1" applyFont="1" applyBorder="1" applyAlignment="1" quotePrefix="1">
      <alignment vertical="center" wrapText="1"/>
    </xf>
    <xf numFmtId="0" fontId="29" fillId="0" borderId="15" xfId="0" applyNumberFormat="1" applyFont="1" applyBorder="1" applyAlignment="1" quotePrefix="1">
      <alignment vertical="center" wrapText="1"/>
    </xf>
    <xf numFmtId="0" fontId="9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181" fontId="7" fillId="0" borderId="0" xfId="42" applyNumberFormat="1" applyFont="1" applyFill="1" applyAlignment="1">
      <alignment/>
    </xf>
    <xf numFmtId="181" fontId="5" fillId="0" borderId="0" xfId="42" applyNumberFormat="1" applyFont="1" applyFill="1" applyAlignment="1">
      <alignment horizontal="center" vertical="center"/>
    </xf>
    <xf numFmtId="181" fontId="7" fillId="0" borderId="0" xfId="42" applyNumberFormat="1" applyFont="1" applyFill="1" applyAlignment="1">
      <alignment horizontal="right"/>
    </xf>
    <xf numFmtId="181" fontId="62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top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10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9" fillId="0" borderId="0" xfId="59" applyFont="1" applyFill="1">
      <alignment/>
      <protection/>
    </xf>
    <xf numFmtId="0" fontId="9" fillId="8" borderId="0" xfId="59" applyFont="1" applyFill="1">
      <alignment/>
      <protection/>
    </xf>
    <xf numFmtId="0" fontId="37" fillId="0" borderId="0" xfId="0" applyFont="1" applyAlignment="1">
      <alignment horizontal="center" wrapText="1"/>
    </xf>
    <xf numFmtId="0" fontId="1" fillId="0" borderId="0" xfId="59" applyFont="1" applyFill="1">
      <alignment/>
      <protection/>
    </xf>
    <xf numFmtId="0" fontId="1" fillId="0" borderId="0" xfId="59" applyFont="1">
      <alignment/>
      <protection/>
    </xf>
    <xf numFmtId="0" fontId="63" fillId="0" borderId="0" xfId="0" applyFont="1" applyAlignment="1">
      <alignment horizontal="center"/>
    </xf>
    <xf numFmtId="0" fontId="38" fillId="0" borderId="32" xfId="0" applyFont="1" applyFill="1" applyBorder="1" applyAlignment="1">
      <alignment vertical="center" wrapText="1"/>
    </xf>
    <xf numFmtId="0" fontId="38" fillId="0" borderId="33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Border="1">
      <alignment/>
      <protection/>
    </xf>
    <xf numFmtId="0" fontId="7" fillId="0" borderId="0" xfId="61" applyFont="1" applyAlignment="1">
      <alignment horizont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7" fillId="0" borderId="0" xfId="61" applyFont="1" applyBorder="1" applyAlignment="1">
      <alignment horizontal="center"/>
      <protection/>
    </xf>
    <xf numFmtId="0" fontId="29" fillId="0" borderId="0" xfId="0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38" fillId="0" borderId="0" xfId="61" applyFont="1" applyAlignment="1">
      <alignment horizontal="left" indent="3"/>
      <protection/>
    </xf>
    <xf numFmtId="181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right"/>
    </xf>
    <xf numFmtId="0" fontId="76" fillId="24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181" fontId="38" fillId="0" borderId="10" xfId="0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81" fontId="76" fillId="0" borderId="10" xfId="42" applyNumberFormat="1" applyFont="1" applyBorder="1" applyAlignment="1">
      <alignment/>
    </xf>
    <xf numFmtId="181" fontId="76" fillId="0" borderId="34" xfId="42" applyNumberFormat="1" applyFont="1" applyBorder="1" applyAlignment="1">
      <alignment/>
    </xf>
    <xf numFmtId="181" fontId="1" fillId="0" borderId="33" xfId="42" applyNumberFormat="1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8" fillId="0" borderId="10" xfId="61" applyNumberFormat="1" applyFont="1" applyBorder="1" applyAlignment="1">
      <alignment horizontal="center"/>
      <protection/>
    </xf>
    <xf numFmtId="0" fontId="38" fillId="0" borderId="10" xfId="61" applyFont="1" applyBorder="1">
      <alignment/>
      <protection/>
    </xf>
    <xf numFmtId="0" fontId="29" fillId="0" borderId="0" xfId="61" applyFont="1">
      <alignment/>
      <protection/>
    </xf>
    <xf numFmtId="0" fontId="1" fillId="0" borderId="10" xfId="61" applyFont="1" applyBorder="1">
      <alignment/>
      <protection/>
    </xf>
    <xf numFmtId="4" fontId="1" fillId="0" borderId="10" xfId="61" applyNumberFormat="1" applyFont="1" applyBorder="1">
      <alignment/>
      <protection/>
    </xf>
    <xf numFmtId="1" fontId="1" fillId="0" borderId="10" xfId="61" applyNumberFormat="1" applyFont="1" applyBorder="1">
      <alignment/>
      <protection/>
    </xf>
    <xf numFmtId="1" fontId="38" fillId="0" borderId="10" xfId="61" applyNumberFormat="1" applyFont="1" applyBorder="1">
      <alignment/>
      <protection/>
    </xf>
    <xf numFmtId="181" fontId="1" fillId="0" borderId="10" xfId="45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1" fillId="0" borderId="10" xfId="45" applyNumberFormat="1" applyFont="1" applyBorder="1" applyAlignment="1">
      <alignment/>
    </xf>
    <xf numFmtId="181" fontId="1" fillId="0" borderId="33" xfId="45" applyNumberFormat="1" applyFont="1" applyBorder="1" applyAlignment="1">
      <alignment/>
    </xf>
    <xf numFmtId="181" fontId="1" fillId="0" borderId="0" xfId="45" applyNumberFormat="1" applyFont="1" applyAlignment="1">
      <alignment/>
    </xf>
    <xf numFmtId="181" fontId="1" fillId="0" borderId="34" xfId="42" applyNumberFormat="1" applyFont="1" applyBorder="1" applyAlignment="1">
      <alignment/>
    </xf>
    <xf numFmtId="0" fontId="76" fillId="0" borderId="10" xfId="61" applyFont="1" applyBorder="1">
      <alignment/>
      <protection/>
    </xf>
    <xf numFmtId="181" fontId="76" fillId="0" borderId="10" xfId="45" applyNumberFormat="1" applyFont="1" applyBorder="1" applyAlignment="1">
      <alignment/>
    </xf>
    <xf numFmtId="0" fontId="38" fillId="24" borderId="10" xfId="61" applyFont="1" applyFill="1" applyBorder="1">
      <alignment/>
      <protection/>
    </xf>
    <xf numFmtId="0" fontId="1" fillId="0" borderId="10" xfId="61" applyFont="1" applyBorder="1" applyAlignment="1">
      <alignment horizontal="center"/>
      <protection/>
    </xf>
    <xf numFmtId="0" fontId="38" fillId="0" borderId="10" xfId="61" applyFont="1" applyBorder="1" applyAlignment="1">
      <alignment horizontal="center"/>
      <protection/>
    </xf>
    <xf numFmtId="0" fontId="31" fillId="0" borderId="0" xfId="61" applyFont="1">
      <alignment/>
      <protection/>
    </xf>
    <xf numFmtId="3" fontId="77" fillId="0" borderId="10" xfId="0" applyNumberFormat="1" applyFont="1" applyBorder="1" applyAlignment="1">
      <alignment/>
    </xf>
    <xf numFmtId="0" fontId="77" fillId="0" borderId="10" xfId="61" applyFont="1" applyBorder="1">
      <alignment/>
      <protection/>
    </xf>
    <xf numFmtId="0" fontId="77" fillId="0" borderId="0" xfId="61" applyFont="1">
      <alignment/>
      <protection/>
    </xf>
    <xf numFmtId="0" fontId="29" fillId="0" borderId="10" xfId="61" applyFont="1" applyBorder="1">
      <alignment/>
      <protection/>
    </xf>
    <xf numFmtId="0" fontId="33" fillId="0" borderId="10" xfId="61" applyFont="1" applyBorder="1">
      <alignment/>
      <protection/>
    </xf>
    <xf numFmtId="1" fontId="33" fillId="0" borderId="10" xfId="61" applyNumberFormat="1" applyFont="1" applyBorder="1">
      <alignment/>
      <protection/>
    </xf>
    <xf numFmtId="2" fontId="33" fillId="0" borderId="10" xfId="61" applyNumberFormat="1" applyFont="1" applyBorder="1">
      <alignment/>
      <protection/>
    </xf>
    <xf numFmtId="0" fontId="29" fillId="0" borderId="35" xfId="61" applyFont="1" applyBorder="1">
      <alignment/>
      <protection/>
    </xf>
    <xf numFmtId="0" fontId="7" fillId="0" borderId="14" xfId="61" applyFont="1" applyBorder="1" applyAlignment="1">
      <alignment horizontal="center"/>
      <protection/>
    </xf>
    <xf numFmtId="0" fontId="38" fillId="0" borderId="10" xfId="61" applyFont="1" applyBorder="1" applyAlignment="1">
      <alignment horizontal="left"/>
      <protection/>
    </xf>
    <xf numFmtId="2" fontId="38" fillId="0" borderId="10" xfId="61" applyNumberFormat="1" applyFont="1" applyBorder="1" applyAlignment="1">
      <alignment horizontal="center"/>
      <protection/>
    </xf>
    <xf numFmtId="0" fontId="38" fillId="0" borderId="36" xfId="61" applyFont="1" applyBorder="1">
      <alignment/>
      <protection/>
    </xf>
    <xf numFmtId="0" fontId="38" fillId="0" borderId="0" xfId="61" applyFont="1">
      <alignment/>
      <protection/>
    </xf>
    <xf numFmtId="2" fontId="1" fillId="0" borderId="10" xfId="61" applyNumberFormat="1" applyFont="1" applyBorder="1" applyAlignment="1">
      <alignment horizontal="center"/>
      <protection/>
    </xf>
    <xf numFmtId="0" fontId="1" fillId="0" borderId="36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1" fillId="0" borderId="36" xfId="61" applyFont="1" applyBorder="1">
      <alignment/>
      <protection/>
    </xf>
    <xf numFmtId="0" fontId="38" fillId="0" borderId="36" xfId="61" applyFont="1" applyBorder="1" applyAlignment="1">
      <alignment horizontal="center"/>
      <protection/>
    </xf>
    <xf numFmtId="0" fontId="38" fillId="0" borderId="36" xfId="61" applyFont="1" applyBorder="1" applyAlignment="1">
      <alignment/>
      <protection/>
    </xf>
    <xf numFmtId="0" fontId="1" fillId="0" borderId="36" xfId="61" applyFont="1" applyBorder="1" applyAlignment="1">
      <alignment/>
      <protection/>
    </xf>
    <xf numFmtId="0" fontId="1" fillId="0" borderId="36" xfId="61" applyFont="1" applyFill="1" applyBorder="1" applyAlignment="1">
      <alignment/>
      <protection/>
    </xf>
    <xf numFmtId="0" fontId="1" fillId="24" borderId="36" xfId="61" applyFont="1" applyFill="1" applyBorder="1">
      <alignment/>
      <protection/>
    </xf>
    <xf numFmtId="0" fontId="1" fillId="0" borderId="35" xfId="61" applyFont="1" applyBorder="1">
      <alignment/>
      <protection/>
    </xf>
    <xf numFmtId="0" fontId="1" fillId="0" borderId="35" xfId="61" applyFont="1" applyBorder="1" applyAlignment="1">
      <alignment horizontal="center"/>
      <protection/>
    </xf>
    <xf numFmtId="2" fontId="1" fillId="0" borderId="35" xfId="61" applyNumberFormat="1" applyFont="1" applyBorder="1" applyAlignment="1">
      <alignment horizontal="center"/>
      <protection/>
    </xf>
    <xf numFmtId="0" fontId="38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2" fontId="1" fillId="0" borderId="0" xfId="61" applyNumberFormat="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1" fillId="24" borderId="10" xfId="61" applyFont="1" applyFill="1" applyBorder="1" applyAlignment="1">
      <alignment horizontal="center" vertical="center"/>
      <protection/>
    </xf>
    <xf numFmtId="0" fontId="1" fillId="24" borderId="10" xfId="61" applyFont="1" applyFill="1" applyBorder="1" applyAlignment="1">
      <alignment horizontal="center" vertical="center" wrapText="1"/>
      <protection/>
    </xf>
    <xf numFmtId="0" fontId="1" fillId="24" borderId="0" xfId="6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6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166" fontId="60" fillId="0" borderId="12" xfId="62" applyNumberFormat="1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9" fillId="0" borderId="0" xfId="59" applyFont="1" applyFill="1" applyAlignment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vertical="center"/>
    </xf>
    <xf numFmtId="9" fontId="1" fillId="0" borderId="33" xfId="0" applyNumberFormat="1" applyFont="1" applyBorder="1" applyAlignment="1">
      <alignment vertical="center"/>
    </xf>
    <xf numFmtId="43" fontId="1" fillId="0" borderId="10" xfId="42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right" vertical="center"/>
    </xf>
    <xf numFmtId="0" fontId="7" fillId="0" borderId="0" xfId="59" applyFont="1" applyFill="1" applyAlignment="1">
      <alignment vertical="center"/>
      <protection/>
    </xf>
    <xf numFmtId="0" fontId="1" fillId="0" borderId="33" xfId="0" applyFont="1" applyBorder="1" applyAlignment="1">
      <alignment vertical="center"/>
    </xf>
    <xf numFmtId="187" fontId="1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5" fillId="0" borderId="0" xfId="59" applyFont="1" applyFill="1" applyAlignment="1">
      <alignment vertical="center"/>
      <protection/>
    </xf>
    <xf numFmtId="0" fontId="69" fillId="0" borderId="10" xfId="0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right" vertical="center"/>
    </xf>
    <xf numFmtId="188" fontId="38" fillId="0" borderId="0" xfId="44" applyFont="1" applyFill="1" applyAlignment="1">
      <alignment vertical="center"/>
    </xf>
    <xf numFmtId="0" fontId="1" fillId="0" borderId="0" xfId="59" applyFont="1" applyFill="1" applyAlignment="1">
      <alignment vertical="center"/>
      <protection/>
    </xf>
    <xf numFmtId="0" fontId="1" fillId="0" borderId="0" xfId="59" applyFont="1" applyAlignment="1">
      <alignment vertical="center"/>
      <protection/>
    </xf>
    <xf numFmtId="3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9" fillId="0" borderId="0" xfId="0" applyFont="1" applyFill="1" applyAlignment="1">
      <alignment/>
    </xf>
    <xf numFmtId="167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6" fontId="79" fillId="0" borderId="36" xfId="0" applyNumberFormat="1" applyFont="1" applyFill="1" applyBorder="1" applyAlignment="1">
      <alignment horizontal="center"/>
    </xf>
    <xf numFmtId="166" fontId="79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center"/>
    </xf>
    <xf numFmtId="3" fontId="61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80" fillId="0" borderId="0" xfId="0" applyNumberFormat="1" applyFont="1" applyAlignment="1">
      <alignment/>
    </xf>
    <xf numFmtId="3" fontId="62" fillId="0" borderId="0" xfId="0" applyNumberFormat="1" applyFont="1" applyFill="1" applyAlignment="1">
      <alignment/>
    </xf>
    <xf numFmtId="1" fontId="19" fillId="0" borderId="15" xfId="62" applyNumberFormat="1" applyFont="1" applyFill="1" applyBorder="1" applyAlignment="1">
      <alignment horizontal="center" vertical="center"/>
      <protection/>
    </xf>
    <xf numFmtId="1" fontId="19" fillId="0" borderId="15" xfId="62" applyNumberFormat="1" applyFont="1" applyFill="1" applyBorder="1" applyAlignment="1">
      <alignment horizontal="center" vertical="center" wrapText="1"/>
      <protection/>
    </xf>
    <xf numFmtId="166" fontId="19" fillId="0" borderId="15" xfId="62" applyNumberFormat="1" applyFont="1" applyFill="1" applyBorder="1" applyAlignment="1">
      <alignment horizontal="right" vertical="center"/>
      <protection/>
    </xf>
    <xf numFmtId="166" fontId="19" fillId="0" borderId="15" xfId="62" applyNumberFormat="1" applyFont="1" applyFill="1" applyBorder="1" applyAlignment="1">
      <alignment horizontal="right" vertical="center" wrapText="1"/>
      <protection/>
    </xf>
    <xf numFmtId="168" fontId="20" fillId="0" borderId="15" xfId="62" applyNumberFormat="1" applyFont="1" applyFill="1" applyBorder="1" applyAlignment="1">
      <alignment horizontal="right" vertical="center" wrapText="1"/>
      <protection/>
    </xf>
    <xf numFmtId="166" fontId="20" fillId="0" borderId="15" xfId="62" applyNumberFormat="1" applyFont="1" applyFill="1" applyBorder="1" applyAlignment="1">
      <alignment horizontal="right" vertical="center" wrapText="1"/>
      <protection/>
    </xf>
    <xf numFmtId="1" fontId="19" fillId="0" borderId="15" xfId="62" applyNumberFormat="1" applyFont="1" applyFill="1" applyBorder="1" applyAlignment="1">
      <alignment horizontal="right" vertical="center"/>
      <protection/>
    </xf>
    <xf numFmtId="3" fontId="19" fillId="0" borderId="15" xfId="62" applyNumberFormat="1" applyFont="1" applyFill="1" applyBorder="1" applyAlignment="1">
      <alignment horizontal="right" vertical="center"/>
      <protection/>
    </xf>
    <xf numFmtId="3" fontId="20" fillId="0" borderId="15" xfId="62" applyNumberFormat="1" applyFont="1" applyFill="1" applyBorder="1" applyAlignment="1">
      <alignment horizontal="right" vertical="center" wrapText="1"/>
      <protection/>
    </xf>
    <xf numFmtId="1" fontId="20" fillId="0" borderId="37" xfId="62" applyNumberFormat="1" applyFont="1" applyFill="1" applyBorder="1" applyAlignment="1">
      <alignment horizontal="right" vertical="center"/>
      <protection/>
    </xf>
    <xf numFmtId="1" fontId="20" fillId="0" borderId="37" xfId="62" applyNumberFormat="1" applyFont="1" applyFill="1" applyBorder="1" applyAlignment="1">
      <alignment horizontal="center" vertical="center"/>
      <protection/>
    </xf>
    <xf numFmtId="1" fontId="20" fillId="0" borderId="37" xfId="62" applyNumberFormat="1" applyFont="1" applyFill="1" applyBorder="1" applyAlignment="1">
      <alignment vertical="center" wrapText="1"/>
      <protection/>
    </xf>
    <xf numFmtId="1" fontId="20" fillId="0" borderId="37" xfId="62" applyNumberFormat="1" applyFont="1" applyFill="1" applyBorder="1" applyAlignment="1">
      <alignment horizontal="center" vertical="center" wrapText="1"/>
      <protection/>
    </xf>
    <xf numFmtId="169" fontId="20" fillId="0" borderId="37" xfId="62" applyNumberFormat="1" applyFont="1" applyFill="1" applyBorder="1" applyAlignment="1">
      <alignment horizontal="right" vertical="center"/>
      <protection/>
    </xf>
    <xf numFmtId="169" fontId="20" fillId="0" borderId="37" xfId="62" applyNumberFormat="1" applyFont="1" applyFill="1" applyBorder="1" applyAlignment="1">
      <alignment horizontal="center" vertical="center" wrapText="1"/>
      <protection/>
    </xf>
    <xf numFmtId="168" fontId="20" fillId="0" borderId="37" xfId="62" applyNumberFormat="1" applyFont="1" applyFill="1" applyBorder="1" applyAlignment="1">
      <alignment horizontal="right" vertical="center" wrapText="1"/>
      <protection/>
    </xf>
    <xf numFmtId="169" fontId="20" fillId="0" borderId="37" xfId="62" applyNumberFormat="1" applyFont="1" applyFill="1" applyBorder="1" applyAlignment="1">
      <alignment horizontal="right" vertical="center" wrapText="1"/>
      <protection/>
    </xf>
    <xf numFmtId="3" fontId="20" fillId="0" borderId="37" xfId="62" applyNumberFormat="1" applyFont="1" applyFill="1" applyBorder="1" applyAlignment="1">
      <alignment horizontal="right" vertical="center"/>
      <protection/>
    </xf>
    <xf numFmtId="3" fontId="20" fillId="0" borderId="37" xfId="62" applyNumberFormat="1" applyFont="1" applyFill="1" applyBorder="1" applyAlignment="1">
      <alignment horizontal="right" vertical="center" wrapText="1"/>
      <protection/>
    </xf>
    <xf numFmtId="166" fontId="20" fillId="0" borderId="37" xfId="62" applyNumberFormat="1" applyFont="1" applyFill="1" applyBorder="1" applyAlignment="1">
      <alignment horizontal="right" vertical="center"/>
      <protection/>
    </xf>
    <xf numFmtId="166" fontId="20" fillId="0" borderId="37" xfId="62" applyNumberFormat="1" applyFont="1" applyFill="1" applyBorder="1" applyAlignment="1">
      <alignment horizontal="right" vertical="center" wrapText="1"/>
      <protection/>
    </xf>
    <xf numFmtId="3" fontId="20" fillId="0" borderId="0" xfId="62" applyNumberFormat="1" applyFont="1" applyFill="1" applyAlignment="1">
      <alignment horizontal="center" vertical="center"/>
      <protection/>
    </xf>
    <xf numFmtId="1" fontId="27" fillId="0" borderId="15" xfId="62" applyNumberFormat="1" applyFont="1" applyFill="1" applyBorder="1" applyAlignment="1">
      <alignment vertical="center" wrapText="1"/>
      <protection/>
    </xf>
    <xf numFmtId="3" fontId="20" fillId="0" borderId="15" xfId="62" applyNumberFormat="1" applyFont="1" applyFill="1" applyBorder="1" applyAlignment="1">
      <alignment horizontal="right" vertical="center"/>
      <protection/>
    </xf>
    <xf numFmtId="0" fontId="19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166" fontId="20" fillId="0" borderId="38" xfId="62" applyNumberFormat="1" applyFont="1" applyFill="1" applyBorder="1" applyAlignment="1">
      <alignment vertical="center" wrapText="1"/>
      <protection/>
    </xf>
    <xf numFmtId="166" fontId="20" fillId="0" borderId="38" xfId="62" applyNumberFormat="1" applyFont="1" applyFill="1" applyBorder="1" applyAlignment="1">
      <alignment horizontal="right" vertical="center" wrapText="1"/>
      <protection/>
    </xf>
    <xf numFmtId="0" fontId="81" fillId="0" borderId="12" xfId="0" applyFont="1" applyBorder="1" applyAlignment="1">
      <alignment wrapText="1"/>
    </xf>
    <xf numFmtId="3" fontId="20" fillId="0" borderId="12" xfId="62" applyNumberFormat="1" applyFont="1" applyFill="1" applyBorder="1" applyAlignment="1">
      <alignment horizontal="center" vertical="center" wrapText="1"/>
      <protection/>
    </xf>
    <xf numFmtId="166" fontId="20" fillId="0" borderId="12" xfId="62" applyNumberFormat="1" applyFont="1" applyFill="1" applyBorder="1" applyAlignment="1">
      <alignment vertical="center" wrapText="1"/>
      <protection/>
    </xf>
    <xf numFmtId="181" fontId="1" fillId="0" borderId="0" xfId="42" applyNumberFormat="1" applyFont="1" applyFill="1" applyAlignment="1">
      <alignment/>
    </xf>
    <xf numFmtId="0" fontId="1" fillId="0" borderId="39" xfId="0" applyFont="1" applyBorder="1" applyAlignment="1">
      <alignment horizontal="left" vertical="center" wrapText="1"/>
    </xf>
    <xf numFmtId="182" fontId="1" fillId="0" borderId="39" xfId="42" applyNumberFormat="1" applyFont="1" applyBorder="1" applyAlignment="1">
      <alignment vertical="center" wrapText="1"/>
    </xf>
    <xf numFmtId="181" fontId="1" fillId="0" borderId="39" xfId="42" applyNumberFormat="1" applyFont="1" applyBorder="1" applyAlignment="1">
      <alignment vertical="center" wrapText="1"/>
    </xf>
    <xf numFmtId="181" fontId="38" fillId="0" borderId="39" xfId="42" applyNumberFormat="1" applyFont="1" applyFill="1" applyBorder="1" applyAlignment="1">
      <alignment vertical="center" wrapText="1"/>
    </xf>
    <xf numFmtId="181" fontId="38" fillId="0" borderId="39" xfId="42" applyNumberFormat="1" applyFont="1" applyBorder="1" applyAlignment="1">
      <alignment vertical="center" wrapText="1"/>
    </xf>
    <xf numFmtId="181" fontId="1" fillId="0" borderId="0" xfId="42" applyNumberFormat="1" applyFont="1" applyFill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0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166" fontId="7" fillId="0" borderId="12" xfId="0" applyNumberFormat="1" applyFont="1" applyBorder="1" applyAlignment="1">
      <alignment/>
    </xf>
    <xf numFmtId="166" fontId="7" fillId="0" borderId="12" xfId="0" applyNumberFormat="1" applyFont="1" applyFill="1" applyBorder="1" applyAlignment="1">
      <alignment/>
    </xf>
    <xf numFmtId="0" fontId="7" fillId="0" borderId="12" xfId="0" applyFont="1" applyBorder="1" applyAlignment="1" quotePrefix="1">
      <alignment/>
    </xf>
    <xf numFmtId="166" fontId="84" fillId="0" borderId="12" xfId="0" applyNumberFormat="1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166" fontId="84" fillId="0" borderId="37" xfId="0" applyNumberFormat="1" applyFont="1" applyFill="1" applyBorder="1" applyAlignment="1">
      <alignment/>
    </xf>
    <xf numFmtId="166" fontId="7" fillId="0" borderId="37" xfId="0" applyNumberFormat="1" applyFont="1" applyFill="1" applyBorder="1" applyAlignment="1">
      <alignment/>
    </xf>
    <xf numFmtId="166" fontId="7" fillId="0" borderId="37" xfId="0" applyNumberFormat="1" applyFont="1" applyBorder="1" applyAlignment="1">
      <alignment/>
    </xf>
    <xf numFmtId="166" fontId="5" fillId="0" borderId="37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7" fillId="0" borderId="15" xfId="0" applyNumberFormat="1" applyFont="1" applyFill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166" fontId="5" fillId="0" borderId="40" xfId="0" applyNumberFormat="1" applyFont="1" applyBorder="1" applyAlignment="1">
      <alignment vertical="center"/>
    </xf>
    <xf numFmtId="166" fontId="5" fillId="0" borderId="40" xfId="0" applyNumberFormat="1" applyFont="1" applyFill="1" applyBorder="1" applyAlignment="1">
      <alignment vertical="center"/>
    </xf>
    <xf numFmtId="166" fontId="19" fillId="0" borderId="13" xfId="62" applyNumberFormat="1" applyFont="1" applyFill="1" applyBorder="1" applyAlignment="1">
      <alignment horizontal="right" vertical="center" wrapText="1"/>
      <protection/>
    </xf>
    <xf numFmtId="3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/>
    </xf>
    <xf numFmtId="1" fontId="20" fillId="0" borderId="11" xfId="62" applyNumberFormat="1" applyFont="1" applyFill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3" fontId="59" fillId="0" borderId="12" xfId="0" applyNumberFormat="1" applyFont="1" applyBorder="1" applyAlignment="1">
      <alignment horizontal="center" vertical="center"/>
    </xf>
    <xf numFmtId="1" fontId="60" fillId="0" borderId="12" xfId="62" applyNumberFormat="1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3" fontId="20" fillId="0" borderId="12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171" fontId="20" fillId="0" borderId="12" xfId="0" applyNumberFormat="1" applyFont="1" applyFill="1" applyBorder="1" applyAlignment="1">
      <alignment vertical="center"/>
    </xf>
    <xf numFmtId="1" fontId="20" fillId="0" borderId="12" xfId="0" applyNumberFormat="1" applyFont="1" applyFill="1" applyBorder="1" applyAlignment="1">
      <alignment vertical="center"/>
    </xf>
    <xf numFmtId="171" fontId="20" fillId="0" borderId="12" xfId="0" applyNumberFormat="1" applyFont="1" applyBorder="1" applyAlignment="1">
      <alignment vertical="center"/>
    </xf>
    <xf numFmtId="3" fontId="19" fillId="0" borderId="12" xfId="62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vertical="center"/>
    </xf>
    <xf numFmtId="1" fontId="20" fillId="0" borderId="12" xfId="0" applyNumberFormat="1" applyFont="1" applyBorder="1" applyAlignment="1">
      <alignment horizontal="left" vertical="center" wrapText="1"/>
    </xf>
    <xf numFmtId="3" fontId="59" fillId="0" borderId="12" xfId="0" applyNumberFormat="1" applyFont="1" applyBorder="1" applyAlignment="1">
      <alignment vertical="center"/>
    </xf>
    <xf numFmtId="1" fontId="59" fillId="0" borderId="12" xfId="0" applyNumberFormat="1" applyFont="1" applyBorder="1" applyAlignment="1">
      <alignment vertical="center"/>
    </xf>
    <xf numFmtId="1" fontId="59" fillId="0" borderId="12" xfId="62" applyNumberFormat="1" applyFont="1" applyFill="1" applyBorder="1" applyAlignment="1">
      <alignment horizontal="center" vertical="center" wrapText="1"/>
      <protection/>
    </xf>
    <xf numFmtId="1" fontId="19" fillId="0" borderId="12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" fontId="20" fillId="0" borderId="15" xfId="62" applyNumberFormat="1" applyFont="1" applyFill="1" applyBorder="1" applyAlignment="1">
      <alignment horizontal="left" vertical="center" wrapText="1"/>
      <protection/>
    </xf>
    <xf numFmtId="1" fontId="20" fillId="0" borderId="15" xfId="62" applyNumberFormat="1" applyFont="1" applyFill="1" applyBorder="1" applyAlignment="1">
      <alignment horizontal="center" vertical="center" wrapText="1"/>
      <protection/>
    </xf>
    <xf numFmtId="3" fontId="20" fillId="0" borderId="15" xfId="62" applyNumberFormat="1" applyFont="1" applyFill="1" applyBorder="1" applyAlignment="1">
      <alignment horizontal="center" vertical="center"/>
      <protection/>
    </xf>
    <xf numFmtId="3" fontId="19" fillId="0" borderId="15" xfId="62" applyNumberFormat="1" applyFont="1" applyFill="1" applyBorder="1" applyAlignment="1">
      <alignment horizontal="center" vertical="center"/>
      <protection/>
    </xf>
    <xf numFmtId="1" fontId="20" fillId="0" borderId="15" xfId="62" applyNumberFormat="1" applyFont="1" applyFill="1" applyBorder="1" applyAlignment="1">
      <alignment vertical="center"/>
      <protection/>
    </xf>
    <xf numFmtId="3" fontId="20" fillId="0" borderId="15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3" fontId="19" fillId="0" borderId="12" xfId="62" applyNumberFormat="1" applyFont="1" applyFill="1" applyBorder="1" applyAlignment="1">
      <alignment vertical="center" wrapText="1"/>
      <protection/>
    </xf>
    <xf numFmtId="1" fontId="19" fillId="0" borderId="12" xfId="0" applyNumberFormat="1" applyFont="1" applyBorder="1" applyAlignment="1">
      <alignment horizontal="left" vertical="center" wrapText="1"/>
    </xf>
    <xf numFmtId="0" fontId="5" fillId="20" borderId="41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left" vertical="center" wrapText="1"/>
    </xf>
    <xf numFmtId="181" fontId="7" fillId="20" borderId="43" xfId="42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81" fontId="5" fillId="0" borderId="24" xfId="42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/>
    </xf>
    <xf numFmtId="183" fontId="7" fillId="0" borderId="24" xfId="42" applyNumberFormat="1" applyFont="1" applyBorder="1" applyAlignment="1">
      <alignment vertical="center" wrapText="1"/>
    </xf>
    <xf numFmtId="181" fontId="7" fillId="0" borderId="24" xfId="42" applyNumberFormat="1" applyFont="1" applyBorder="1" applyAlignment="1">
      <alignment vertical="center" wrapText="1"/>
    </xf>
    <xf numFmtId="181" fontId="7" fillId="0" borderId="24" xfId="42" applyNumberFormat="1" applyFont="1" applyBorder="1" applyAlignment="1">
      <alignment horizontal="right" vertical="center" wrapText="1"/>
    </xf>
    <xf numFmtId="43" fontId="7" fillId="0" borderId="24" xfId="42" applyNumberFormat="1" applyFont="1" applyBorder="1" applyAlignment="1">
      <alignment vertical="center" wrapText="1"/>
    </xf>
    <xf numFmtId="9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181" fontId="7" fillId="0" borderId="24" xfId="42" applyNumberFormat="1" applyFont="1" applyFill="1" applyBorder="1" applyAlignment="1">
      <alignment vertical="center" wrapText="1"/>
    </xf>
    <xf numFmtId="181" fontId="7" fillId="0" borderId="24" xfId="42" applyNumberFormat="1" applyFont="1" applyFill="1" applyBorder="1" applyAlignment="1">
      <alignment horizontal="right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left" vertical="center" wrapText="1"/>
    </xf>
    <xf numFmtId="181" fontId="7" fillId="20" borderId="24" xfId="42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182" fontId="7" fillId="0" borderId="24" xfId="42" applyNumberFormat="1" applyFont="1" applyBorder="1" applyAlignment="1">
      <alignment vertical="center" wrapText="1"/>
    </xf>
    <xf numFmtId="181" fontId="5" fillId="0" borderId="24" xfId="42" applyNumberFormat="1" applyFont="1" applyFill="1" applyBorder="1" applyAlignment="1">
      <alignment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43" fontId="5" fillId="0" borderId="24" xfId="42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left" vertical="center" wrapText="1"/>
    </xf>
    <xf numFmtId="181" fontId="5" fillId="0" borderId="30" xfId="42" applyNumberFormat="1" applyFont="1" applyBorder="1" applyAlignment="1">
      <alignment horizontal="right" vertical="center" wrapText="1"/>
    </xf>
    <xf numFmtId="181" fontId="38" fillId="0" borderId="23" xfId="42" applyNumberFormat="1" applyFont="1" applyFill="1" applyBorder="1" applyAlignment="1">
      <alignment horizontal="center" vertical="center" wrapText="1"/>
    </xf>
    <xf numFmtId="181" fontId="38" fillId="0" borderId="24" xfId="42" applyNumberFormat="1" applyFont="1" applyFill="1" applyBorder="1" applyAlignment="1">
      <alignment horizontal="center" vertical="center" wrapText="1"/>
    </xf>
    <xf numFmtId="181" fontId="38" fillId="0" borderId="22" xfId="42" applyNumberFormat="1" applyFont="1" applyFill="1" applyBorder="1" applyAlignment="1">
      <alignment horizontal="center" vertical="center"/>
    </xf>
    <xf numFmtId="181" fontId="38" fillId="0" borderId="23" xfId="42" applyNumberFormat="1" applyFont="1" applyFill="1" applyBorder="1" applyAlignment="1">
      <alignment horizontal="justify" vertical="top" wrapText="1"/>
    </xf>
    <xf numFmtId="181" fontId="38" fillId="0" borderId="23" xfId="42" applyNumberFormat="1" applyFont="1" applyFill="1" applyBorder="1" applyAlignment="1">
      <alignment horizontal="right" vertical="top" wrapText="1"/>
    </xf>
    <xf numFmtId="182" fontId="38" fillId="0" borderId="23" xfId="42" applyNumberFormat="1" applyFont="1" applyFill="1" applyBorder="1" applyAlignment="1">
      <alignment horizontal="justify" vertical="top" wrapText="1"/>
    </xf>
    <xf numFmtId="181" fontId="1" fillId="0" borderId="22" xfId="42" applyNumberFormat="1" applyFont="1" applyFill="1" applyBorder="1" applyAlignment="1">
      <alignment horizontal="right" vertical="center"/>
    </xf>
    <xf numFmtId="181" fontId="82" fillId="0" borderId="23" xfId="42" applyNumberFormat="1" applyFont="1" applyFill="1" applyBorder="1" applyAlignment="1">
      <alignment horizontal="justify" vertical="top" wrapText="1"/>
    </xf>
    <xf numFmtId="181" fontId="1" fillId="0" borderId="23" xfId="42" applyNumberFormat="1" applyFont="1" applyFill="1" applyBorder="1" applyAlignment="1">
      <alignment horizontal="right" vertical="top" wrapText="1"/>
    </xf>
    <xf numFmtId="182" fontId="1" fillId="0" borderId="23" xfId="42" applyNumberFormat="1" applyFont="1" applyFill="1" applyBorder="1" applyAlignment="1">
      <alignment horizontal="justify" vertical="top" wrapText="1"/>
    </xf>
    <xf numFmtId="181" fontId="38" fillId="0" borderId="23" xfId="42" applyNumberFormat="1" applyFont="1" applyFill="1" applyBorder="1" applyAlignment="1">
      <alignment/>
    </xf>
    <xf numFmtId="181" fontId="1" fillId="0" borderId="24" xfId="42" applyNumberFormat="1" applyFont="1" applyFill="1" applyBorder="1" applyAlignment="1">
      <alignment/>
    </xf>
    <xf numFmtId="181" fontId="1" fillId="0" borderId="23" xfId="42" applyNumberFormat="1" applyFont="1" applyFill="1" applyBorder="1" applyAlignment="1">
      <alignment horizontal="justify" vertical="top" wrapText="1"/>
    </xf>
    <xf numFmtId="181" fontId="1" fillId="0" borderId="23" xfId="42" applyNumberFormat="1" applyFont="1" applyFill="1" applyBorder="1" applyAlignment="1">
      <alignment/>
    </xf>
    <xf numFmtId="181" fontId="1" fillId="0" borderId="22" xfId="42" applyNumberFormat="1" applyFont="1" applyFill="1" applyBorder="1" applyAlignment="1">
      <alignment horizontal="center" vertical="center"/>
    </xf>
    <xf numFmtId="181" fontId="21" fillId="0" borderId="23" xfId="42" applyNumberFormat="1" applyFont="1" applyFill="1" applyBorder="1" applyAlignment="1">
      <alignment horizontal="justify" vertical="top" wrapText="1"/>
    </xf>
    <xf numFmtId="43" fontId="1" fillId="0" borderId="23" xfId="42" applyNumberFormat="1" applyFont="1" applyFill="1" applyBorder="1" applyAlignment="1">
      <alignment horizontal="right" vertical="top" wrapText="1"/>
    </xf>
    <xf numFmtId="181" fontId="1" fillId="0" borderId="23" xfId="42" applyNumberFormat="1" applyFont="1" applyFill="1" applyBorder="1" applyAlignment="1">
      <alignment vertical="center" wrapText="1"/>
    </xf>
    <xf numFmtId="182" fontId="1" fillId="0" borderId="23" xfId="42" applyNumberFormat="1" applyFont="1" applyFill="1" applyBorder="1" applyAlignment="1">
      <alignment horizontal="right" vertical="top" wrapText="1"/>
    </xf>
    <xf numFmtId="181" fontId="38" fillId="0" borderId="28" xfId="42" applyNumberFormat="1" applyFont="1" applyFill="1" applyBorder="1" applyAlignment="1">
      <alignment horizontal="center" vertical="center"/>
    </xf>
    <xf numFmtId="181" fontId="38" fillId="0" borderId="29" xfId="42" applyNumberFormat="1" applyFont="1" applyFill="1" applyBorder="1" applyAlignment="1">
      <alignment horizontal="center" vertical="top" wrapText="1"/>
    </xf>
    <xf numFmtId="181" fontId="38" fillId="0" borderId="29" xfId="42" applyNumberFormat="1" applyFont="1" applyFill="1" applyBorder="1" applyAlignment="1">
      <alignment horizontal="right" vertical="top" wrapText="1"/>
    </xf>
    <xf numFmtId="181" fontId="83" fillId="0" borderId="29" xfId="42" applyNumberFormat="1" applyFont="1" applyFill="1" applyBorder="1" applyAlignment="1">
      <alignment horizontal="right" vertical="top" wrapText="1"/>
    </xf>
    <xf numFmtId="181" fontId="38" fillId="0" borderId="30" xfId="42" applyNumberFormat="1" applyFont="1" applyFill="1" applyBorder="1" applyAlignment="1">
      <alignment horizontal="center" vertical="center" wrapText="1"/>
    </xf>
    <xf numFmtId="0" fontId="35" fillId="0" borderId="0" xfId="61" applyFont="1" applyAlignment="1">
      <alignment vertical="center"/>
      <protection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 vertical="center"/>
    </xf>
    <xf numFmtId="181" fontId="7" fillId="0" borderId="24" xfId="42" applyNumberFormat="1" applyFont="1" applyBorder="1" applyAlignment="1">
      <alignment horizontal="center" vertical="center" wrapText="1"/>
    </xf>
    <xf numFmtId="181" fontId="7" fillId="0" borderId="24" xfId="42" applyNumberFormat="1" applyFont="1" applyFill="1" applyBorder="1" applyAlignment="1" quotePrefix="1">
      <alignment horizontal="right"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81" fontId="38" fillId="0" borderId="24" xfId="42" applyNumberFormat="1" applyFont="1" applyFill="1" applyBorder="1" applyAlignment="1">
      <alignment horizontal="center" vertical="center" wrapText="1"/>
    </xf>
    <xf numFmtId="181" fontId="38" fillId="0" borderId="41" xfId="42" applyNumberFormat="1" applyFont="1" applyFill="1" applyBorder="1" applyAlignment="1">
      <alignment horizontal="center" vertical="center" wrapText="1"/>
    </xf>
    <xf numFmtId="181" fontId="38" fillId="0" borderId="22" xfId="42" applyNumberFormat="1" applyFont="1" applyFill="1" applyBorder="1" applyAlignment="1">
      <alignment horizontal="center" vertical="center" wrapText="1"/>
    </xf>
    <xf numFmtId="181" fontId="38" fillId="0" borderId="42" xfId="42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wrapText="1"/>
    </xf>
    <xf numFmtId="181" fontId="5" fillId="0" borderId="0" xfId="42" applyNumberFormat="1" applyFont="1" applyFill="1" applyAlignment="1">
      <alignment horizontal="center" vertical="center"/>
    </xf>
    <xf numFmtId="181" fontId="38" fillId="0" borderId="42" xfId="42" applyNumberFormat="1" applyFont="1" applyFill="1" applyBorder="1" applyAlignment="1">
      <alignment horizontal="center" vertical="center" wrapText="1"/>
    </xf>
    <xf numFmtId="181" fontId="38" fillId="0" borderId="23" xfId="42" applyNumberFormat="1" applyFont="1" applyFill="1" applyBorder="1" applyAlignment="1">
      <alignment horizontal="center" vertical="center" wrapText="1"/>
    </xf>
    <xf numFmtId="181" fontId="38" fillId="0" borderId="43" xfId="42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1" fontId="7" fillId="0" borderId="0" xfId="42" applyNumberFormat="1" applyFont="1" applyFill="1" applyAlignment="1">
      <alignment horizontal="center"/>
    </xf>
    <xf numFmtId="181" fontId="7" fillId="0" borderId="14" xfId="42" applyNumberFormat="1" applyFont="1" applyFill="1" applyBorder="1" applyAlignment="1">
      <alignment horizontal="center" vertical="center"/>
    </xf>
    <xf numFmtId="3" fontId="20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181" fontId="20" fillId="24" borderId="10" xfId="42" applyNumberFormat="1" applyFont="1" applyFill="1" applyBorder="1" applyAlignment="1">
      <alignment horizontal="center" vertical="center"/>
    </xf>
    <xf numFmtId="181" fontId="20" fillId="24" borderId="10" xfId="4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181" fontId="85" fillId="24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60" applyFont="1" applyBorder="1" applyAlignment="1">
      <alignment horizontal="center"/>
      <protection/>
    </xf>
    <xf numFmtId="3" fontId="19" fillId="0" borderId="0" xfId="62" applyNumberFormat="1" applyFont="1" applyBorder="1" applyAlignment="1">
      <alignment horizontal="center" vertical="center" wrapText="1"/>
      <protection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181" fontId="20" fillId="0" borderId="10" xfId="42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1" fontId="21" fillId="0" borderId="0" xfId="62" applyNumberFormat="1" applyFont="1" applyFill="1" applyBorder="1" applyAlignment="1">
      <alignment horizontal="right" vertical="center"/>
      <protection/>
    </xf>
    <xf numFmtId="3" fontId="19" fillId="0" borderId="10" xfId="62" applyNumberFormat="1" applyFont="1" applyFill="1" applyBorder="1" applyAlignment="1">
      <alignment horizontal="center" vertical="center" wrapText="1"/>
      <protection/>
    </xf>
    <xf numFmtId="3" fontId="19" fillId="0" borderId="10" xfId="62" applyNumberFormat="1" applyFont="1" applyBorder="1" applyAlignment="1">
      <alignment horizontal="center" vertical="center" wrapText="1"/>
      <protection/>
    </xf>
    <xf numFmtId="0" fontId="30" fillId="0" borderId="10" xfId="58" applyFont="1" applyFill="1" applyBorder="1" applyAlignment="1">
      <alignment horizontal="center" vertical="center" wrapText="1"/>
      <protection/>
    </xf>
    <xf numFmtId="3" fontId="19" fillId="0" borderId="36" xfId="62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61" fillId="0" borderId="0" xfId="0" applyNumberFormat="1" applyFont="1" applyFill="1" applyAlignment="1">
      <alignment wrapText="1"/>
    </xf>
    <xf numFmtId="0" fontId="61" fillId="0" borderId="0" xfId="0" applyFont="1" applyFill="1" applyAlignment="1">
      <alignment wrapText="1"/>
    </xf>
    <xf numFmtId="166" fontId="79" fillId="0" borderId="36" xfId="0" applyNumberFormat="1" applyFont="1" applyFill="1" applyBorder="1" applyAlignment="1">
      <alignment horizontal="center"/>
    </xf>
    <xf numFmtId="166" fontId="7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17" xfId="0" applyNumberFormat="1" applyFont="1" applyFill="1" applyBorder="1" applyAlignment="1" quotePrefix="1">
      <alignment horizontal="center" vertical="center" wrapText="1"/>
    </xf>
    <xf numFmtId="3" fontId="7" fillId="0" borderId="34" xfId="0" applyNumberFormat="1" applyFont="1" applyFill="1" applyBorder="1" applyAlignment="1" quotePrefix="1">
      <alignment horizontal="center" vertical="center" wrapText="1"/>
    </xf>
    <xf numFmtId="3" fontId="7" fillId="0" borderId="40" xfId="0" applyNumberFormat="1" applyFont="1" applyFill="1" applyBorder="1" applyAlignment="1" quotePrefix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 quotePrefix="1">
      <alignment horizontal="center" vertical="center" wrapText="1"/>
    </xf>
    <xf numFmtId="3" fontId="7" fillId="0" borderId="40" xfId="0" applyNumberFormat="1" applyFont="1" applyBorder="1" applyAlignment="1" quotePrefix="1">
      <alignment horizontal="center" vertical="center" wrapText="1"/>
    </xf>
    <xf numFmtId="3" fontId="19" fillId="0" borderId="10" xfId="62" applyNumberFormat="1" applyFont="1" applyFill="1" applyBorder="1" applyAlignment="1">
      <alignment horizontal="center" vertical="center" wrapText="1"/>
      <protection/>
    </xf>
    <xf numFmtId="3" fontId="19" fillId="0" borderId="0" xfId="62" applyNumberFormat="1" applyFont="1" applyFill="1" applyAlignment="1">
      <alignment horizontal="center" vertical="center"/>
      <protection/>
    </xf>
    <xf numFmtId="3" fontId="24" fillId="0" borderId="0" xfId="62" applyNumberFormat="1" applyFont="1" applyFill="1" applyAlignment="1">
      <alignment horizontal="center" vertical="center"/>
      <protection/>
    </xf>
    <xf numFmtId="3" fontId="19" fillId="0" borderId="10" xfId="62" applyNumberFormat="1" applyFont="1" applyBorder="1" applyAlignment="1">
      <alignment horizontal="center" vertical="center" wrapText="1"/>
      <protection/>
    </xf>
    <xf numFmtId="3" fontId="28" fillId="0" borderId="0" xfId="62" applyNumberFormat="1" applyFont="1" applyFill="1" applyBorder="1" applyAlignment="1">
      <alignment horizontal="center" vertical="center" wrapText="1"/>
      <protection/>
    </xf>
    <xf numFmtId="3" fontId="28" fillId="0" borderId="36" xfId="62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/>
    </xf>
    <xf numFmtId="0" fontId="73" fillId="0" borderId="10" xfId="54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8" fillId="0" borderId="16" xfId="0" applyFont="1" applyBorder="1" applyAlignment="1">
      <alignment vertical="center" wrapText="1"/>
    </xf>
    <xf numFmtId="0" fontId="38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8" fillId="0" borderId="16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33" fillId="0" borderId="11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4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1" fontId="20" fillId="24" borderId="10" xfId="42" applyNumberFormat="1" applyFont="1" applyFill="1" applyBorder="1" applyAlignment="1">
      <alignment horizontal="center" vertical="center"/>
    </xf>
    <xf numFmtId="181" fontId="20" fillId="0" borderId="10" xfId="42" applyNumberFormat="1" applyFont="1" applyFill="1" applyBorder="1" applyAlignment="1">
      <alignment horizontal="center" vertical="center"/>
    </xf>
    <xf numFmtId="0" fontId="20" fillId="0" borderId="10" xfId="60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0" fillId="24" borderId="16" xfId="0" applyFont="1" applyFill="1" applyBorder="1" applyAlignment="1">
      <alignment horizontal="center" vertical="center" wrapText="1"/>
    </xf>
    <xf numFmtId="0" fontId="70" fillId="24" borderId="33" xfId="0" applyFont="1" applyFill="1" applyBorder="1" applyAlignment="1">
      <alignment horizontal="center" vertical="center" wrapText="1"/>
    </xf>
    <xf numFmtId="0" fontId="70" fillId="24" borderId="52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left"/>
    </xf>
    <xf numFmtId="0" fontId="75" fillId="0" borderId="33" xfId="0" applyFont="1" applyBorder="1" applyAlignment="1">
      <alignment horizontal="left"/>
    </xf>
    <xf numFmtId="0" fontId="70" fillId="24" borderId="17" xfId="61" applyFont="1" applyFill="1" applyBorder="1" applyAlignment="1">
      <alignment horizontal="center" vertical="center" wrapText="1"/>
      <protection/>
    </xf>
    <xf numFmtId="0" fontId="0" fillId="24" borderId="40" xfId="61" applyFont="1" applyFill="1" applyBorder="1" applyAlignment="1">
      <alignment/>
      <protection/>
    </xf>
    <xf numFmtId="0" fontId="38" fillId="24" borderId="17" xfId="61" applyFont="1" applyFill="1" applyBorder="1" applyAlignment="1">
      <alignment horizontal="center" vertical="center" wrapText="1"/>
      <protection/>
    </xf>
    <xf numFmtId="0" fontId="38" fillId="24" borderId="40" xfId="61" applyFont="1" applyFill="1" applyBorder="1" applyAlignment="1">
      <alignment horizontal="center" vertical="center" wrapText="1"/>
      <protection/>
    </xf>
    <xf numFmtId="0" fontId="1" fillId="24" borderId="17" xfId="61" applyFont="1" applyFill="1" applyBorder="1" applyAlignment="1">
      <alignment horizontal="center" vertical="center" wrapText="1"/>
      <protection/>
    </xf>
    <xf numFmtId="0" fontId="1" fillId="24" borderId="40" xfId="61" applyFont="1" applyFill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5" fillId="0" borderId="0" xfId="60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0" fillId="24" borderId="52" xfId="0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8" fillId="24" borderId="40" xfId="0" applyFont="1" applyFill="1" applyBorder="1" applyAlignment="1">
      <alignment horizontal="center" vertical="center" wrapText="1"/>
    </xf>
    <xf numFmtId="0" fontId="38" fillId="24" borderId="44" xfId="0" applyFont="1" applyFill="1" applyBorder="1" applyAlignment="1">
      <alignment horizontal="center" vertical="center" wrapText="1"/>
    </xf>
    <xf numFmtId="0" fontId="38" fillId="24" borderId="35" xfId="0" applyFont="1" applyFill="1" applyBorder="1" applyAlignment="1">
      <alignment horizontal="center" vertical="center" wrapText="1"/>
    </xf>
    <xf numFmtId="0" fontId="38" fillId="24" borderId="4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ieu mau (CV )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85725</xdr:rowOff>
    </xdr:from>
    <xdr:to>
      <xdr:col>11</xdr:col>
      <xdr:colOff>161925</xdr:colOff>
      <xdr:row>32</xdr:row>
      <xdr:rowOff>85725</xdr:rowOff>
    </xdr:to>
    <xdr:sp>
      <xdr:nvSpPr>
        <xdr:cNvPr id="1" name="Straight Connector 172"/>
        <xdr:cNvSpPr>
          <a:spLocks/>
        </xdr:cNvSpPr>
      </xdr:nvSpPr>
      <xdr:spPr>
        <a:xfrm flipV="1">
          <a:off x="4533900" y="7648575"/>
          <a:ext cx="1828800" cy="0"/>
        </a:xfrm>
        <a:prstGeom prst="straightConnector1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238125</xdr:colOff>
      <xdr:row>62</xdr:row>
      <xdr:rowOff>28575</xdr:rowOff>
    </xdr:from>
    <xdr:to>
      <xdr:col>43</xdr:col>
      <xdr:colOff>28575</xdr:colOff>
      <xdr:row>62</xdr:row>
      <xdr:rowOff>28575</xdr:rowOff>
    </xdr:to>
    <xdr:grpSp>
      <xdr:nvGrpSpPr>
        <xdr:cNvPr id="2" name="Group 13"/>
        <xdr:cNvGrpSpPr>
          <a:grpSpLocks/>
        </xdr:cNvGrpSpPr>
      </xdr:nvGrpSpPr>
      <xdr:grpSpPr>
        <a:xfrm>
          <a:off x="13344525" y="12611100"/>
          <a:ext cx="504825" cy="0"/>
          <a:chOff x="14816978" y="7519707"/>
          <a:chExt cx="7069231" cy="727822"/>
        </a:xfrm>
        <a:solidFill>
          <a:srgbClr val="FFFFFF"/>
        </a:solidFill>
      </xdr:grpSpPr>
      <xdr:sp>
        <xdr:nvSpPr>
          <xdr:cNvPr id="3" name="Straight Connector 163"/>
          <xdr:cNvSpPr>
            <a:spLocks/>
          </xdr:cNvSpPr>
        </xdr:nvSpPr>
        <xdr:spPr>
          <a:xfrm>
            <a:off x="138153851" y="12287305"/>
            <a:ext cx="634640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164"/>
          <xdr:cNvSpPr>
            <a:spLocks/>
          </xdr:cNvSpPr>
        </xdr:nvSpPr>
        <xdr:spPr>
          <a:xfrm>
            <a:off x="138567401" y="12287305"/>
            <a:ext cx="564301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238125</xdr:colOff>
      <xdr:row>62</xdr:row>
      <xdr:rowOff>28575</xdr:rowOff>
    </xdr:from>
    <xdr:to>
      <xdr:col>43</xdr:col>
      <xdr:colOff>28575</xdr:colOff>
      <xdr:row>62</xdr:row>
      <xdr:rowOff>28575</xdr:rowOff>
    </xdr:to>
    <xdr:grpSp>
      <xdr:nvGrpSpPr>
        <xdr:cNvPr id="5" name="Group 13"/>
        <xdr:cNvGrpSpPr>
          <a:grpSpLocks/>
        </xdr:cNvGrpSpPr>
      </xdr:nvGrpSpPr>
      <xdr:grpSpPr>
        <a:xfrm>
          <a:off x="13344525" y="12611100"/>
          <a:ext cx="504825" cy="0"/>
          <a:chOff x="14816978" y="7519707"/>
          <a:chExt cx="7069231" cy="727822"/>
        </a:xfrm>
        <a:solidFill>
          <a:srgbClr val="FFFFFF"/>
        </a:solidFill>
      </xdr:grpSpPr>
      <xdr:sp>
        <xdr:nvSpPr>
          <xdr:cNvPr id="6" name="Straight Connector 163"/>
          <xdr:cNvSpPr>
            <a:spLocks/>
          </xdr:cNvSpPr>
        </xdr:nvSpPr>
        <xdr:spPr>
          <a:xfrm>
            <a:off x="138153851" y="12287305"/>
            <a:ext cx="634640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Connector 164"/>
          <xdr:cNvSpPr>
            <a:spLocks/>
          </xdr:cNvSpPr>
        </xdr:nvSpPr>
        <xdr:spPr>
          <a:xfrm>
            <a:off x="138567401" y="12287305"/>
            <a:ext cx="564301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62</xdr:row>
      <xdr:rowOff>28575</xdr:rowOff>
    </xdr:from>
    <xdr:to>
      <xdr:col>46</xdr:col>
      <xdr:colOff>342900</xdr:colOff>
      <xdr:row>62</xdr:row>
      <xdr:rowOff>28575</xdr:rowOff>
    </xdr:to>
    <xdr:grpSp>
      <xdr:nvGrpSpPr>
        <xdr:cNvPr id="8" name="Group 13"/>
        <xdr:cNvGrpSpPr>
          <a:grpSpLocks/>
        </xdr:cNvGrpSpPr>
      </xdr:nvGrpSpPr>
      <xdr:grpSpPr>
        <a:xfrm>
          <a:off x="13344525" y="12611100"/>
          <a:ext cx="2647950" cy="0"/>
          <a:chOff x="14816978" y="7519707"/>
          <a:chExt cx="7069231" cy="727822"/>
        </a:xfrm>
        <a:solidFill>
          <a:srgbClr val="FFFFFF"/>
        </a:solidFill>
      </xdr:grpSpPr>
      <xdr:sp>
        <xdr:nvSpPr>
          <xdr:cNvPr id="9" name="Straight Connector 84"/>
          <xdr:cNvSpPr>
            <a:spLocks/>
          </xdr:cNvSpPr>
        </xdr:nvSpPr>
        <xdr:spPr>
          <a:xfrm>
            <a:off x="156500273" y="12287305"/>
            <a:ext cx="634640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85"/>
          <xdr:cNvSpPr>
            <a:spLocks/>
          </xdr:cNvSpPr>
        </xdr:nvSpPr>
        <xdr:spPr>
          <a:xfrm>
            <a:off x="156912056" y="12287305"/>
            <a:ext cx="564301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95250</xdr:rowOff>
    </xdr:from>
    <xdr:to>
      <xdr:col>11</xdr:col>
      <xdr:colOff>180975</xdr:colOff>
      <xdr:row>31</xdr:row>
      <xdr:rowOff>95250</xdr:rowOff>
    </xdr:to>
    <xdr:sp>
      <xdr:nvSpPr>
        <xdr:cNvPr id="11" name="Straight Connector 171"/>
        <xdr:cNvSpPr>
          <a:spLocks/>
        </xdr:cNvSpPr>
      </xdr:nvSpPr>
      <xdr:spPr>
        <a:xfrm>
          <a:off x="4533900" y="7505700"/>
          <a:ext cx="1847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38100</xdr:rowOff>
    </xdr:from>
    <xdr:to>
      <xdr:col>41</xdr:col>
      <xdr:colOff>0</xdr:colOff>
      <xdr:row>164</xdr:row>
      <xdr:rowOff>38100</xdr:rowOff>
    </xdr:to>
    <xdr:grpSp>
      <xdr:nvGrpSpPr>
        <xdr:cNvPr id="12" name="Group 14"/>
        <xdr:cNvGrpSpPr>
          <a:grpSpLocks/>
        </xdr:cNvGrpSpPr>
      </xdr:nvGrpSpPr>
      <xdr:grpSpPr>
        <a:xfrm>
          <a:off x="11677650" y="29136975"/>
          <a:ext cx="1666875" cy="0"/>
          <a:chOff x="6777878" y="5931834"/>
          <a:chExt cx="9422466" cy="1877611"/>
        </a:xfrm>
        <a:solidFill>
          <a:srgbClr val="FFFFFF"/>
        </a:solidFill>
      </xdr:grpSpPr>
      <xdr:sp>
        <xdr:nvSpPr>
          <xdr:cNvPr id="13" name="Rectangle 88"/>
          <xdr:cNvSpPr>
            <a:spLocks/>
          </xdr:cNvSpPr>
        </xdr:nvSpPr>
        <xdr:spPr>
          <a:xfrm>
            <a:off x="1153635683" y="30756198"/>
            <a:ext cx="185387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89"/>
          <xdr:cNvSpPr>
            <a:spLocks/>
          </xdr:cNvSpPr>
        </xdr:nvSpPr>
        <xdr:spPr>
          <a:xfrm>
            <a:off x="1170963598" y="30756198"/>
            <a:ext cx="471123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0"/>
          <xdr:cNvSpPr>
            <a:spLocks/>
          </xdr:cNvSpPr>
        </xdr:nvSpPr>
        <xdr:spPr>
          <a:xfrm>
            <a:off x="1183596769" y="30756198"/>
            <a:ext cx="1399236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1"/>
          <xdr:cNvSpPr>
            <a:spLocks/>
          </xdr:cNvSpPr>
        </xdr:nvSpPr>
        <xdr:spPr>
          <a:xfrm>
            <a:off x="1198651514" y="30756198"/>
            <a:ext cx="671351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2"/>
          <xdr:cNvSpPr>
            <a:spLocks/>
          </xdr:cNvSpPr>
        </xdr:nvSpPr>
        <xdr:spPr>
          <a:xfrm>
            <a:off x="1135933225" y="30756198"/>
            <a:ext cx="694907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93"/>
          <xdr:cNvSpPr txBox="1">
            <a:spLocks noChangeArrowheads="1"/>
          </xdr:cNvSpPr>
        </xdr:nvSpPr>
        <xdr:spPr>
          <a:xfrm>
            <a:off x="1135749487" y="30756198"/>
            <a:ext cx="6713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 months</a:t>
            </a:r>
          </a:p>
        </xdr:txBody>
      </xdr:sp>
      <xdr:sp>
        <xdr:nvSpPr>
          <xdr:cNvPr id="19" name="TextBox 94"/>
          <xdr:cNvSpPr txBox="1">
            <a:spLocks noChangeArrowheads="1"/>
          </xdr:cNvSpPr>
        </xdr:nvSpPr>
        <xdr:spPr>
          <a:xfrm>
            <a:off x="1153817065" y="30756198"/>
            <a:ext cx="6642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8 months</a:t>
            </a:r>
          </a:p>
        </xdr:txBody>
      </xdr:sp>
      <xdr:sp>
        <xdr:nvSpPr>
          <xdr:cNvPr id="20" name="TextBox 95"/>
          <xdr:cNvSpPr txBox="1">
            <a:spLocks noChangeArrowheads="1"/>
          </xdr:cNvSpPr>
        </xdr:nvSpPr>
        <xdr:spPr>
          <a:xfrm>
            <a:off x="1171677350" y="30756198"/>
            <a:ext cx="6713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 months</a:t>
            </a:r>
          </a:p>
        </xdr:txBody>
      </xdr:sp>
      <xdr:sp>
        <xdr:nvSpPr>
          <xdr:cNvPr id="21" name="TextBox 96"/>
          <xdr:cNvSpPr txBox="1">
            <a:spLocks noChangeArrowheads="1"/>
          </xdr:cNvSpPr>
        </xdr:nvSpPr>
        <xdr:spPr>
          <a:xfrm>
            <a:off x="1183792285" y="30756198"/>
            <a:ext cx="6713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6 months</a:t>
            </a:r>
          </a:p>
        </xdr:txBody>
      </xdr:sp>
      <xdr:sp>
        <xdr:nvSpPr>
          <xdr:cNvPr id="22" name="TextBox 97"/>
          <xdr:cNvSpPr txBox="1">
            <a:spLocks noChangeArrowheads="1"/>
          </xdr:cNvSpPr>
        </xdr:nvSpPr>
        <xdr:spPr>
          <a:xfrm>
            <a:off x="1198660937" y="30756198"/>
            <a:ext cx="6548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 months</a:t>
            </a:r>
          </a:p>
        </xdr:txBody>
      </xdr:sp>
      <xdr:sp>
        <xdr:nvSpPr>
          <xdr:cNvPr id="23" name="Rectangle 98"/>
          <xdr:cNvSpPr>
            <a:spLocks/>
          </xdr:cNvSpPr>
        </xdr:nvSpPr>
        <xdr:spPr>
          <a:xfrm>
            <a:off x="1231835084" y="30756198"/>
            <a:ext cx="4228332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99"/>
          <xdr:cNvSpPr txBox="1">
            <a:spLocks noChangeArrowheads="1"/>
          </xdr:cNvSpPr>
        </xdr:nvSpPr>
        <xdr:spPr>
          <a:xfrm>
            <a:off x="1233571173" y="30756198"/>
            <a:ext cx="7679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18 months</a:t>
            </a:r>
          </a:p>
        </xdr:txBody>
      </xdr:sp>
      <xdr:sp>
        <xdr:nvSpPr>
          <xdr:cNvPr id="25" name="Straight Connector 100"/>
          <xdr:cNvSpPr>
            <a:spLocks/>
          </xdr:cNvSpPr>
        </xdr:nvSpPr>
        <xdr:spPr>
          <a:xfrm>
            <a:off x="1227027270" y="30756198"/>
            <a:ext cx="35475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Straight Connector 101"/>
          <xdr:cNvSpPr>
            <a:spLocks/>
          </xdr:cNvSpPr>
        </xdr:nvSpPr>
        <xdr:spPr>
          <a:xfrm>
            <a:off x="1231828017" y="30756198"/>
            <a:ext cx="42448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11</xdr:row>
      <xdr:rowOff>123825</xdr:rowOff>
    </xdr:from>
    <xdr:to>
      <xdr:col>28</xdr:col>
      <xdr:colOff>0</xdr:colOff>
      <xdr:row>11</xdr:row>
      <xdr:rowOff>123825</xdr:rowOff>
    </xdr:to>
    <xdr:sp>
      <xdr:nvSpPr>
        <xdr:cNvPr id="27" name="Line 7961"/>
        <xdr:cNvSpPr>
          <a:spLocks/>
        </xdr:cNvSpPr>
      </xdr:nvSpPr>
      <xdr:spPr>
        <a:xfrm flipV="1">
          <a:off x="7010400" y="3019425"/>
          <a:ext cx="3238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123825</xdr:rowOff>
    </xdr:from>
    <xdr:to>
      <xdr:col>10</xdr:col>
      <xdr:colOff>133350</xdr:colOff>
      <xdr:row>21</xdr:row>
      <xdr:rowOff>123825</xdr:rowOff>
    </xdr:to>
    <xdr:sp>
      <xdr:nvSpPr>
        <xdr:cNvPr id="28" name="Line 7965"/>
        <xdr:cNvSpPr>
          <a:spLocks/>
        </xdr:cNvSpPr>
      </xdr:nvSpPr>
      <xdr:spPr>
        <a:xfrm flipV="1">
          <a:off x="5734050" y="5305425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22</xdr:row>
      <xdr:rowOff>123825</xdr:rowOff>
    </xdr:from>
    <xdr:to>
      <xdr:col>12</xdr:col>
      <xdr:colOff>9525</xdr:colOff>
      <xdr:row>22</xdr:row>
      <xdr:rowOff>123825</xdr:rowOff>
    </xdr:to>
    <xdr:sp>
      <xdr:nvSpPr>
        <xdr:cNvPr id="29" name="Line 7966"/>
        <xdr:cNvSpPr>
          <a:spLocks/>
        </xdr:cNvSpPr>
      </xdr:nvSpPr>
      <xdr:spPr>
        <a:xfrm flipV="1">
          <a:off x="6076950" y="5534025"/>
          <a:ext cx="371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114300</xdr:rowOff>
    </xdr:from>
    <xdr:to>
      <xdr:col>28</xdr:col>
      <xdr:colOff>0</xdr:colOff>
      <xdr:row>12</xdr:row>
      <xdr:rowOff>114300</xdr:rowOff>
    </xdr:to>
    <xdr:sp>
      <xdr:nvSpPr>
        <xdr:cNvPr id="30" name="Line 7970"/>
        <xdr:cNvSpPr>
          <a:spLocks/>
        </xdr:cNvSpPr>
      </xdr:nvSpPr>
      <xdr:spPr>
        <a:xfrm>
          <a:off x="7010400" y="3238500"/>
          <a:ext cx="3238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114300</xdr:rowOff>
    </xdr:from>
    <xdr:to>
      <xdr:col>28</xdr:col>
      <xdr:colOff>0</xdr:colOff>
      <xdr:row>13</xdr:row>
      <xdr:rowOff>114300</xdr:rowOff>
    </xdr:to>
    <xdr:sp>
      <xdr:nvSpPr>
        <xdr:cNvPr id="31" name="Line 7971"/>
        <xdr:cNvSpPr>
          <a:spLocks/>
        </xdr:cNvSpPr>
      </xdr:nvSpPr>
      <xdr:spPr>
        <a:xfrm>
          <a:off x="7029450" y="3467100"/>
          <a:ext cx="3219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14</xdr:row>
      <xdr:rowOff>123825</xdr:rowOff>
    </xdr:from>
    <xdr:to>
      <xdr:col>28</xdr:col>
      <xdr:colOff>0</xdr:colOff>
      <xdr:row>14</xdr:row>
      <xdr:rowOff>123825</xdr:rowOff>
    </xdr:to>
    <xdr:sp>
      <xdr:nvSpPr>
        <xdr:cNvPr id="32" name="Line 7972"/>
        <xdr:cNvSpPr>
          <a:spLocks/>
        </xdr:cNvSpPr>
      </xdr:nvSpPr>
      <xdr:spPr>
        <a:xfrm>
          <a:off x="7734300" y="3705225"/>
          <a:ext cx="2514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123825</xdr:rowOff>
    </xdr:from>
    <xdr:to>
      <xdr:col>28</xdr:col>
      <xdr:colOff>0</xdr:colOff>
      <xdr:row>15</xdr:row>
      <xdr:rowOff>123825</xdr:rowOff>
    </xdr:to>
    <xdr:sp>
      <xdr:nvSpPr>
        <xdr:cNvPr id="33" name="Line 7973"/>
        <xdr:cNvSpPr>
          <a:spLocks/>
        </xdr:cNvSpPr>
      </xdr:nvSpPr>
      <xdr:spPr>
        <a:xfrm>
          <a:off x="7019925" y="3933825"/>
          <a:ext cx="3228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16</xdr:row>
      <xdr:rowOff>114300</xdr:rowOff>
    </xdr:from>
    <xdr:to>
      <xdr:col>28</xdr:col>
      <xdr:colOff>0</xdr:colOff>
      <xdr:row>16</xdr:row>
      <xdr:rowOff>114300</xdr:rowOff>
    </xdr:to>
    <xdr:sp>
      <xdr:nvSpPr>
        <xdr:cNvPr id="34" name="Line 7974"/>
        <xdr:cNvSpPr>
          <a:spLocks/>
        </xdr:cNvSpPr>
      </xdr:nvSpPr>
      <xdr:spPr>
        <a:xfrm>
          <a:off x="7515225" y="4152900"/>
          <a:ext cx="2733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17</xdr:row>
      <xdr:rowOff>114300</xdr:rowOff>
    </xdr:from>
    <xdr:to>
      <xdr:col>28</xdr:col>
      <xdr:colOff>0</xdr:colOff>
      <xdr:row>17</xdr:row>
      <xdr:rowOff>114300</xdr:rowOff>
    </xdr:to>
    <xdr:sp>
      <xdr:nvSpPr>
        <xdr:cNvPr id="35" name="Line 7975"/>
        <xdr:cNvSpPr>
          <a:spLocks/>
        </xdr:cNvSpPr>
      </xdr:nvSpPr>
      <xdr:spPr>
        <a:xfrm flipV="1">
          <a:off x="7019925" y="4381500"/>
          <a:ext cx="3228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36" name="Straight Connector 127"/>
        <xdr:cNvSpPr>
          <a:spLocks/>
        </xdr:cNvSpPr>
      </xdr:nvSpPr>
      <xdr:spPr>
        <a:xfrm>
          <a:off x="4533900" y="48577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114300</xdr:rowOff>
    </xdr:from>
    <xdr:to>
      <xdr:col>8</xdr:col>
      <xdr:colOff>219075</xdr:colOff>
      <xdr:row>20</xdr:row>
      <xdr:rowOff>114300</xdr:rowOff>
    </xdr:to>
    <xdr:sp>
      <xdr:nvSpPr>
        <xdr:cNvPr id="37" name="Straight Connector 129"/>
        <xdr:cNvSpPr>
          <a:spLocks/>
        </xdr:cNvSpPr>
      </xdr:nvSpPr>
      <xdr:spPr>
        <a:xfrm>
          <a:off x="4533900" y="5067300"/>
          <a:ext cx="1171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161925</xdr:colOff>
      <xdr:row>7</xdr:row>
      <xdr:rowOff>123825</xdr:rowOff>
    </xdr:to>
    <xdr:sp>
      <xdr:nvSpPr>
        <xdr:cNvPr id="38" name="Straight Connector 131"/>
        <xdr:cNvSpPr>
          <a:spLocks/>
        </xdr:cNvSpPr>
      </xdr:nvSpPr>
      <xdr:spPr>
        <a:xfrm>
          <a:off x="4533900" y="210502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133350</xdr:rowOff>
    </xdr:from>
    <xdr:to>
      <xdr:col>10</xdr:col>
      <xdr:colOff>76200</xdr:colOff>
      <xdr:row>9</xdr:row>
      <xdr:rowOff>133350</xdr:rowOff>
    </xdr:to>
    <xdr:sp>
      <xdr:nvSpPr>
        <xdr:cNvPr id="39" name="Straight Connector 135"/>
        <xdr:cNvSpPr>
          <a:spLocks/>
        </xdr:cNvSpPr>
      </xdr:nvSpPr>
      <xdr:spPr>
        <a:xfrm>
          <a:off x="5495925" y="257175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13</xdr:col>
      <xdr:colOff>19050</xdr:colOff>
      <xdr:row>10</xdr:row>
      <xdr:rowOff>123825</xdr:rowOff>
    </xdr:to>
    <xdr:sp>
      <xdr:nvSpPr>
        <xdr:cNvPr id="40" name="Straight Connector 137"/>
        <xdr:cNvSpPr>
          <a:spLocks/>
        </xdr:cNvSpPr>
      </xdr:nvSpPr>
      <xdr:spPr>
        <a:xfrm>
          <a:off x="5962650" y="279082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114300</xdr:rowOff>
    </xdr:from>
    <xdr:to>
      <xdr:col>8</xdr:col>
      <xdr:colOff>9525</xdr:colOff>
      <xdr:row>8</xdr:row>
      <xdr:rowOff>114300</xdr:rowOff>
    </xdr:to>
    <xdr:sp>
      <xdr:nvSpPr>
        <xdr:cNvPr id="41" name="Straight Connector 140"/>
        <xdr:cNvSpPr>
          <a:spLocks/>
        </xdr:cNvSpPr>
      </xdr:nvSpPr>
      <xdr:spPr>
        <a:xfrm>
          <a:off x="5133975" y="2324100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84</xdr:row>
      <xdr:rowOff>19050</xdr:rowOff>
    </xdr:from>
    <xdr:to>
      <xdr:col>12</xdr:col>
      <xdr:colOff>228600</xdr:colOff>
      <xdr:row>84</xdr:row>
      <xdr:rowOff>19050</xdr:rowOff>
    </xdr:to>
    <xdr:sp>
      <xdr:nvSpPr>
        <xdr:cNvPr id="42" name="Straight Connector 172"/>
        <xdr:cNvSpPr>
          <a:spLocks/>
        </xdr:cNvSpPr>
      </xdr:nvSpPr>
      <xdr:spPr>
        <a:xfrm>
          <a:off x="4724400" y="16163925"/>
          <a:ext cx="1943100" cy="0"/>
        </a:xfrm>
        <a:prstGeom prst="straightConnector1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114300</xdr:rowOff>
    </xdr:from>
    <xdr:to>
      <xdr:col>28</xdr:col>
      <xdr:colOff>0</xdr:colOff>
      <xdr:row>11</xdr:row>
      <xdr:rowOff>114300</xdr:rowOff>
    </xdr:to>
    <xdr:sp>
      <xdr:nvSpPr>
        <xdr:cNvPr id="43" name="Line 524"/>
        <xdr:cNvSpPr>
          <a:spLocks/>
        </xdr:cNvSpPr>
      </xdr:nvSpPr>
      <xdr:spPr>
        <a:xfrm>
          <a:off x="10248900" y="30099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76200</xdr:rowOff>
    </xdr:from>
    <xdr:to>
      <xdr:col>28</xdr:col>
      <xdr:colOff>0</xdr:colOff>
      <xdr:row>12</xdr:row>
      <xdr:rowOff>76200</xdr:rowOff>
    </xdr:to>
    <xdr:sp>
      <xdr:nvSpPr>
        <xdr:cNvPr id="44" name="Line 525"/>
        <xdr:cNvSpPr>
          <a:spLocks/>
        </xdr:cNvSpPr>
      </xdr:nvSpPr>
      <xdr:spPr>
        <a:xfrm>
          <a:off x="10248900" y="32004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104775</xdr:rowOff>
    </xdr:from>
    <xdr:to>
      <xdr:col>28</xdr:col>
      <xdr:colOff>0</xdr:colOff>
      <xdr:row>14</xdr:row>
      <xdr:rowOff>104775</xdr:rowOff>
    </xdr:to>
    <xdr:sp>
      <xdr:nvSpPr>
        <xdr:cNvPr id="45" name="Line 527"/>
        <xdr:cNvSpPr>
          <a:spLocks/>
        </xdr:cNvSpPr>
      </xdr:nvSpPr>
      <xdr:spPr>
        <a:xfrm>
          <a:off x="10248900" y="36861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152400</xdr:rowOff>
    </xdr:from>
    <xdr:to>
      <xdr:col>28</xdr:col>
      <xdr:colOff>0</xdr:colOff>
      <xdr:row>17</xdr:row>
      <xdr:rowOff>152400</xdr:rowOff>
    </xdr:to>
    <xdr:sp>
      <xdr:nvSpPr>
        <xdr:cNvPr id="46" name="Line 530"/>
        <xdr:cNvSpPr>
          <a:spLocks/>
        </xdr:cNvSpPr>
      </xdr:nvSpPr>
      <xdr:spPr>
        <a:xfrm>
          <a:off x="10248900" y="44196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85725</xdr:rowOff>
    </xdr:from>
    <xdr:to>
      <xdr:col>28</xdr:col>
      <xdr:colOff>0</xdr:colOff>
      <xdr:row>24</xdr:row>
      <xdr:rowOff>85725</xdr:rowOff>
    </xdr:to>
    <xdr:sp>
      <xdr:nvSpPr>
        <xdr:cNvPr id="47" name="Line 531"/>
        <xdr:cNvSpPr>
          <a:spLocks/>
        </xdr:cNvSpPr>
      </xdr:nvSpPr>
      <xdr:spPr>
        <a:xfrm>
          <a:off x="10248900" y="59531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161925</xdr:rowOff>
    </xdr:from>
    <xdr:to>
      <xdr:col>28</xdr:col>
      <xdr:colOff>0</xdr:colOff>
      <xdr:row>25</xdr:row>
      <xdr:rowOff>161925</xdr:rowOff>
    </xdr:to>
    <xdr:sp>
      <xdr:nvSpPr>
        <xdr:cNvPr id="48" name="Line 532"/>
        <xdr:cNvSpPr>
          <a:spLocks/>
        </xdr:cNvSpPr>
      </xdr:nvSpPr>
      <xdr:spPr>
        <a:xfrm>
          <a:off x="10248900" y="6257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228600</xdr:rowOff>
    </xdr:from>
    <xdr:to>
      <xdr:col>28</xdr:col>
      <xdr:colOff>0</xdr:colOff>
      <xdr:row>26</xdr:row>
      <xdr:rowOff>228600</xdr:rowOff>
    </xdr:to>
    <xdr:sp>
      <xdr:nvSpPr>
        <xdr:cNvPr id="49" name="Line 533"/>
        <xdr:cNvSpPr>
          <a:spLocks/>
        </xdr:cNvSpPr>
      </xdr:nvSpPr>
      <xdr:spPr>
        <a:xfrm>
          <a:off x="10248900" y="65532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66675</xdr:rowOff>
    </xdr:from>
    <xdr:to>
      <xdr:col>28</xdr:col>
      <xdr:colOff>0</xdr:colOff>
      <xdr:row>27</xdr:row>
      <xdr:rowOff>66675</xdr:rowOff>
    </xdr:to>
    <xdr:sp>
      <xdr:nvSpPr>
        <xdr:cNvPr id="50" name="Line 534"/>
        <xdr:cNvSpPr>
          <a:spLocks/>
        </xdr:cNvSpPr>
      </xdr:nvSpPr>
      <xdr:spPr>
        <a:xfrm flipV="1">
          <a:off x="10248900" y="66198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152400</xdr:rowOff>
    </xdr:from>
    <xdr:to>
      <xdr:col>28</xdr:col>
      <xdr:colOff>0</xdr:colOff>
      <xdr:row>28</xdr:row>
      <xdr:rowOff>152400</xdr:rowOff>
    </xdr:to>
    <xdr:sp>
      <xdr:nvSpPr>
        <xdr:cNvPr id="51" name="Line 535"/>
        <xdr:cNvSpPr>
          <a:spLocks/>
        </xdr:cNvSpPr>
      </xdr:nvSpPr>
      <xdr:spPr>
        <a:xfrm>
          <a:off x="10248900" y="69342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123825</xdr:rowOff>
    </xdr:from>
    <xdr:to>
      <xdr:col>20</xdr:col>
      <xdr:colOff>0</xdr:colOff>
      <xdr:row>23</xdr:row>
      <xdr:rowOff>123825</xdr:rowOff>
    </xdr:to>
    <xdr:sp>
      <xdr:nvSpPr>
        <xdr:cNvPr id="52" name="Line 551"/>
        <xdr:cNvSpPr>
          <a:spLocks/>
        </xdr:cNvSpPr>
      </xdr:nvSpPr>
      <xdr:spPr>
        <a:xfrm flipV="1">
          <a:off x="7153275" y="5762625"/>
          <a:ext cx="1190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123825</xdr:rowOff>
    </xdr:from>
    <xdr:to>
      <xdr:col>35</xdr:col>
      <xdr:colOff>9525</xdr:colOff>
      <xdr:row>24</xdr:row>
      <xdr:rowOff>123825</xdr:rowOff>
    </xdr:to>
    <xdr:sp>
      <xdr:nvSpPr>
        <xdr:cNvPr id="53" name="Line 552"/>
        <xdr:cNvSpPr>
          <a:spLocks/>
        </xdr:cNvSpPr>
      </xdr:nvSpPr>
      <xdr:spPr>
        <a:xfrm flipV="1">
          <a:off x="8353425" y="5991225"/>
          <a:ext cx="3571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114300</xdr:rowOff>
    </xdr:from>
    <xdr:to>
      <xdr:col>35</xdr:col>
      <xdr:colOff>19050</xdr:colOff>
      <xdr:row>25</xdr:row>
      <xdr:rowOff>114300</xdr:rowOff>
    </xdr:to>
    <xdr:sp>
      <xdr:nvSpPr>
        <xdr:cNvPr id="54" name="Line 554"/>
        <xdr:cNvSpPr>
          <a:spLocks/>
        </xdr:cNvSpPr>
      </xdr:nvSpPr>
      <xdr:spPr>
        <a:xfrm>
          <a:off x="8343900" y="6210300"/>
          <a:ext cx="3590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123825</xdr:rowOff>
    </xdr:from>
    <xdr:to>
      <xdr:col>35</xdr:col>
      <xdr:colOff>0</xdr:colOff>
      <xdr:row>26</xdr:row>
      <xdr:rowOff>123825</xdr:rowOff>
    </xdr:to>
    <xdr:sp>
      <xdr:nvSpPr>
        <xdr:cNvPr id="55" name="Line 555"/>
        <xdr:cNvSpPr>
          <a:spLocks/>
        </xdr:cNvSpPr>
      </xdr:nvSpPr>
      <xdr:spPr>
        <a:xfrm>
          <a:off x="8334375" y="6448425"/>
          <a:ext cx="3581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123825</xdr:rowOff>
    </xdr:from>
    <xdr:to>
      <xdr:col>35</xdr:col>
      <xdr:colOff>0</xdr:colOff>
      <xdr:row>27</xdr:row>
      <xdr:rowOff>123825</xdr:rowOff>
    </xdr:to>
    <xdr:sp>
      <xdr:nvSpPr>
        <xdr:cNvPr id="56" name="Line 556"/>
        <xdr:cNvSpPr>
          <a:spLocks/>
        </xdr:cNvSpPr>
      </xdr:nvSpPr>
      <xdr:spPr>
        <a:xfrm flipV="1">
          <a:off x="8353425" y="6677025"/>
          <a:ext cx="3562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28</xdr:row>
      <xdr:rowOff>104775</xdr:rowOff>
    </xdr:from>
    <xdr:to>
      <xdr:col>35</xdr:col>
      <xdr:colOff>0</xdr:colOff>
      <xdr:row>28</xdr:row>
      <xdr:rowOff>104775</xdr:rowOff>
    </xdr:to>
    <xdr:sp>
      <xdr:nvSpPr>
        <xdr:cNvPr id="57" name="Line 557"/>
        <xdr:cNvSpPr>
          <a:spLocks/>
        </xdr:cNvSpPr>
      </xdr:nvSpPr>
      <xdr:spPr>
        <a:xfrm>
          <a:off x="8353425" y="6886575"/>
          <a:ext cx="3562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123825</xdr:rowOff>
    </xdr:from>
    <xdr:to>
      <xdr:col>38</xdr:col>
      <xdr:colOff>228600</xdr:colOff>
      <xdr:row>11</xdr:row>
      <xdr:rowOff>123825</xdr:rowOff>
    </xdr:to>
    <xdr:sp>
      <xdr:nvSpPr>
        <xdr:cNvPr id="58" name="Line 559"/>
        <xdr:cNvSpPr>
          <a:spLocks/>
        </xdr:cNvSpPr>
      </xdr:nvSpPr>
      <xdr:spPr>
        <a:xfrm flipV="1">
          <a:off x="10248900" y="3019425"/>
          <a:ext cx="260985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114300</xdr:rowOff>
    </xdr:from>
    <xdr:to>
      <xdr:col>39</xdr:col>
      <xdr:colOff>0</xdr:colOff>
      <xdr:row>12</xdr:row>
      <xdr:rowOff>114300</xdr:rowOff>
    </xdr:to>
    <xdr:sp>
      <xdr:nvSpPr>
        <xdr:cNvPr id="59" name="Line 560"/>
        <xdr:cNvSpPr>
          <a:spLocks/>
        </xdr:cNvSpPr>
      </xdr:nvSpPr>
      <xdr:spPr>
        <a:xfrm>
          <a:off x="10248900" y="3238500"/>
          <a:ext cx="2619375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114300</xdr:rowOff>
    </xdr:from>
    <xdr:to>
      <xdr:col>39</xdr:col>
      <xdr:colOff>0</xdr:colOff>
      <xdr:row>13</xdr:row>
      <xdr:rowOff>114300</xdr:rowOff>
    </xdr:to>
    <xdr:sp>
      <xdr:nvSpPr>
        <xdr:cNvPr id="60" name="Line 561"/>
        <xdr:cNvSpPr>
          <a:spLocks/>
        </xdr:cNvSpPr>
      </xdr:nvSpPr>
      <xdr:spPr>
        <a:xfrm flipV="1">
          <a:off x="10267950" y="3467100"/>
          <a:ext cx="2600325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123825</xdr:rowOff>
    </xdr:from>
    <xdr:to>
      <xdr:col>38</xdr:col>
      <xdr:colOff>228600</xdr:colOff>
      <xdr:row>14</xdr:row>
      <xdr:rowOff>123825</xdr:rowOff>
    </xdr:to>
    <xdr:sp>
      <xdr:nvSpPr>
        <xdr:cNvPr id="61" name="Line 562"/>
        <xdr:cNvSpPr>
          <a:spLocks/>
        </xdr:cNvSpPr>
      </xdr:nvSpPr>
      <xdr:spPr>
        <a:xfrm flipV="1">
          <a:off x="10248900" y="3705225"/>
          <a:ext cx="260985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123825</xdr:rowOff>
    </xdr:from>
    <xdr:to>
      <xdr:col>39</xdr:col>
      <xdr:colOff>0</xdr:colOff>
      <xdr:row>15</xdr:row>
      <xdr:rowOff>123825</xdr:rowOff>
    </xdr:to>
    <xdr:sp>
      <xdr:nvSpPr>
        <xdr:cNvPr id="62" name="Line 563"/>
        <xdr:cNvSpPr>
          <a:spLocks/>
        </xdr:cNvSpPr>
      </xdr:nvSpPr>
      <xdr:spPr>
        <a:xfrm>
          <a:off x="10248900" y="3933825"/>
          <a:ext cx="2619375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114300</xdr:rowOff>
    </xdr:from>
    <xdr:to>
      <xdr:col>39</xdr:col>
      <xdr:colOff>9525</xdr:colOff>
      <xdr:row>16</xdr:row>
      <xdr:rowOff>114300</xdr:rowOff>
    </xdr:to>
    <xdr:sp>
      <xdr:nvSpPr>
        <xdr:cNvPr id="63" name="Line 564"/>
        <xdr:cNvSpPr>
          <a:spLocks/>
        </xdr:cNvSpPr>
      </xdr:nvSpPr>
      <xdr:spPr>
        <a:xfrm>
          <a:off x="10248900" y="4152900"/>
          <a:ext cx="262890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114300</xdr:rowOff>
    </xdr:from>
    <xdr:to>
      <xdr:col>39</xdr:col>
      <xdr:colOff>9525</xdr:colOff>
      <xdr:row>17</xdr:row>
      <xdr:rowOff>114300</xdr:rowOff>
    </xdr:to>
    <xdr:sp>
      <xdr:nvSpPr>
        <xdr:cNvPr id="64" name="Line 565"/>
        <xdr:cNvSpPr>
          <a:spLocks/>
        </xdr:cNvSpPr>
      </xdr:nvSpPr>
      <xdr:spPr>
        <a:xfrm flipV="1">
          <a:off x="10248900" y="4381500"/>
          <a:ext cx="262890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24</xdr:row>
      <xdr:rowOff>123825</xdr:rowOff>
    </xdr:from>
    <xdr:to>
      <xdr:col>42</xdr:col>
      <xdr:colOff>228600</xdr:colOff>
      <xdr:row>24</xdr:row>
      <xdr:rowOff>123825</xdr:rowOff>
    </xdr:to>
    <xdr:sp>
      <xdr:nvSpPr>
        <xdr:cNvPr id="65" name="Line 566"/>
        <xdr:cNvSpPr>
          <a:spLocks/>
        </xdr:cNvSpPr>
      </xdr:nvSpPr>
      <xdr:spPr>
        <a:xfrm>
          <a:off x="11925300" y="5991225"/>
          <a:ext cx="188595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25</xdr:row>
      <xdr:rowOff>123825</xdr:rowOff>
    </xdr:from>
    <xdr:to>
      <xdr:col>43</xdr:col>
      <xdr:colOff>0</xdr:colOff>
      <xdr:row>25</xdr:row>
      <xdr:rowOff>123825</xdr:rowOff>
    </xdr:to>
    <xdr:sp>
      <xdr:nvSpPr>
        <xdr:cNvPr id="66" name="Line 567"/>
        <xdr:cNvSpPr>
          <a:spLocks/>
        </xdr:cNvSpPr>
      </xdr:nvSpPr>
      <xdr:spPr>
        <a:xfrm flipV="1">
          <a:off x="11925300" y="6219825"/>
          <a:ext cx="1895475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123825</xdr:rowOff>
    </xdr:from>
    <xdr:to>
      <xdr:col>43</xdr:col>
      <xdr:colOff>0</xdr:colOff>
      <xdr:row>26</xdr:row>
      <xdr:rowOff>123825</xdr:rowOff>
    </xdr:to>
    <xdr:sp>
      <xdr:nvSpPr>
        <xdr:cNvPr id="67" name="Line 568"/>
        <xdr:cNvSpPr>
          <a:spLocks/>
        </xdr:cNvSpPr>
      </xdr:nvSpPr>
      <xdr:spPr>
        <a:xfrm>
          <a:off x="11915775" y="6448425"/>
          <a:ext cx="190500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27</xdr:row>
      <xdr:rowOff>123825</xdr:rowOff>
    </xdr:from>
    <xdr:to>
      <xdr:col>43</xdr:col>
      <xdr:colOff>0</xdr:colOff>
      <xdr:row>27</xdr:row>
      <xdr:rowOff>123825</xdr:rowOff>
    </xdr:to>
    <xdr:sp>
      <xdr:nvSpPr>
        <xdr:cNvPr id="68" name="Line 569"/>
        <xdr:cNvSpPr>
          <a:spLocks/>
        </xdr:cNvSpPr>
      </xdr:nvSpPr>
      <xdr:spPr>
        <a:xfrm>
          <a:off x="11906250" y="6677025"/>
          <a:ext cx="1914525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43</xdr:col>
      <xdr:colOff>0</xdr:colOff>
      <xdr:row>28</xdr:row>
      <xdr:rowOff>114300</xdr:rowOff>
    </xdr:to>
    <xdr:sp>
      <xdr:nvSpPr>
        <xdr:cNvPr id="69" name="Line 570"/>
        <xdr:cNvSpPr>
          <a:spLocks/>
        </xdr:cNvSpPr>
      </xdr:nvSpPr>
      <xdr:spPr>
        <a:xfrm>
          <a:off x="11915775" y="6896100"/>
          <a:ext cx="190500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h\Lap%20Ke%20Hoach;%20Bao%20Cao%20WB\Ke%20hoach%20thuc%20hien%20HP%20cap%20nuoc%20PforR%20nam%202014\Ke%20hoach%20thuc%20hien%20cac%20du%20an%20Cap%20nu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e%20hoach%202014%20tinh%20Ha%20Nam\Ke%20hoach%20thuc%20hien%20cac%20du%20an%20Cap%20nu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nuoc"/>
    </sheetNames>
    <sheetDataSet>
      <sheetData sheetId="0">
        <row r="12">
          <cell r="S12">
            <v>8659.3086</v>
          </cell>
        </row>
        <row r="13">
          <cell r="S13">
            <v>4530.73</v>
          </cell>
        </row>
        <row r="14">
          <cell r="S14">
            <v>10320.2328</v>
          </cell>
        </row>
        <row r="18">
          <cell r="S18">
            <v>7700</v>
          </cell>
        </row>
        <row r="23">
          <cell r="S23">
            <v>8534.803799999998</v>
          </cell>
        </row>
        <row r="24">
          <cell r="S24">
            <v>14374.610799999999</v>
          </cell>
        </row>
        <row r="25">
          <cell r="S25">
            <v>26113.472799999996</v>
          </cell>
        </row>
        <row r="26">
          <cell r="S26">
            <v>13013.9084</v>
          </cell>
        </row>
        <row r="28">
          <cell r="S28">
            <v>14297.7434</v>
          </cell>
        </row>
        <row r="29">
          <cell r="S29">
            <v>12113.066299999999</v>
          </cell>
        </row>
        <row r="30">
          <cell r="S30">
            <v>19782.637000000002</v>
          </cell>
        </row>
        <row r="31">
          <cell r="S31">
            <v>18040.400400000002</v>
          </cell>
        </row>
        <row r="32">
          <cell r="S32">
            <v>15730.2182</v>
          </cell>
        </row>
        <row r="33">
          <cell r="S33">
            <v>18854.129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nuoc"/>
    </sheetNames>
    <sheetDataSet>
      <sheetData sheetId="0">
        <row r="18">
          <cell r="P18">
            <v>15000</v>
          </cell>
        </row>
        <row r="23">
          <cell r="P23">
            <v>5640.9400000000005</v>
          </cell>
        </row>
        <row r="24">
          <cell r="P24">
            <v>9005.016</v>
          </cell>
        </row>
        <row r="25">
          <cell r="P25">
            <v>18945.419</v>
          </cell>
        </row>
        <row r="26">
          <cell r="P26">
            <v>8505.65</v>
          </cell>
        </row>
        <row r="28">
          <cell r="P28">
            <v>6577.637000000001</v>
          </cell>
        </row>
        <row r="29">
          <cell r="P29">
            <v>4436.345</v>
          </cell>
        </row>
        <row r="30">
          <cell r="P30">
            <v>6765.431</v>
          </cell>
        </row>
        <row r="31">
          <cell r="P31">
            <v>5008.278</v>
          </cell>
        </row>
        <row r="32">
          <cell r="P32">
            <v>4562.265</v>
          </cell>
        </row>
        <row r="33">
          <cell r="P33">
            <v>5686.323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workbookViewId="0" topLeftCell="A1">
      <selection activeCell="A2" sqref="A2:G2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3" width="10.140625" style="1" customWidth="1"/>
    <col min="4" max="4" width="1.57421875" style="1" hidden="1" customWidth="1"/>
    <col min="5" max="5" width="11.421875" style="1" customWidth="1"/>
    <col min="6" max="6" width="12.140625" style="1" customWidth="1"/>
    <col min="7" max="7" width="12.00390625" style="1" customWidth="1"/>
    <col min="8" max="16384" width="9.140625" style="1" customWidth="1"/>
  </cols>
  <sheetData>
    <row r="1" spans="1:7" ht="15.75">
      <c r="A1" s="640" t="s">
        <v>46</v>
      </c>
      <c r="B1" s="640"/>
      <c r="C1" s="640"/>
      <c r="D1" s="640"/>
      <c r="E1" s="640"/>
      <c r="F1" s="640"/>
      <c r="G1" s="640"/>
    </row>
    <row r="2" spans="1:7" ht="21.75" customHeight="1">
      <c r="A2" s="641" t="s">
        <v>850</v>
      </c>
      <c r="B2" s="641"/>
      <c r="C2" s="641"/>
      <c r="D2" s="641"/>
      <c r="E2" s="641"/>
      <c r="F2" s="641"/>
      <c r="G2" s="641"/>
    </row>
    <row r="3" ht="9.75" customHeight="1"/>
    <row r="4" spans="1:7" ht="15.75" customHeight="1">
      <c r="A4" s="642" t="s">
        <v>40</v>
      </c>
      <c r="B4" s="642" t="s">
        <v>0</v>
      </c>
      <c r="C4" s="642" t="s">
        <v>45</v>
      </c>
      <c r="D4" s="642" t="s">
        <v>62</v>
      </c>
      <c r="E4" s="645" t="s">
        <v>49</v>
      </c>
      <c r="F4" s="646"/>
      <c r="G4" s="642" t="s">
        <v>64</v>
      </c>
    </row>
    <row r="5" spans="1:7" ht="15" customHeight="1">
      <c r="A5" s="643"/>
      <c r="B5" s="643"/>
      <c r="C5" s="643"/>
      <c r="D5" s="643"/>
      <c r="E5" s="642" t="s">
        <v>63</v>
      </c>
      <c r="F5" s="642" t="s">
        <v>48</v>
      </c>
      <c r="G5" s="643"/>
    </row>
    <row r="6" spans="1:7" ht="15" customHeight="1">
      <c r="A6" s="644"/>
      <c r="B6" s="644"/>
      <c r="C6" s="644"/>
      <c r="D6" s="644"/>
      <c r="E6" s="644"/>
      <c r="F6" s="644"/>
      <c r="G6" s="644"/>
    </row>
    <row r="7" spans="1:7" ht="15" customHeight="1">
      <c r="A7" s="6" t="s">
        <v>41</v>
      </c>
      <c r="B7" s="2" t="s">
        <v>1</v>
      </c>
      <c r="C7" s="6"/>
      <c r="D7" s="2"/>
      <c r="E7" s="2"/>
      <c r="F7" s="2"/>
      <c r="G7" s="2"/>
    </row>
    <row r="8" spans="1:7" ht="15" customHeight="1">
      <c r="A8" s="6">
        <v>1</v>
      </c>
      <c r="B8" s="2" t="s">
        <v>2</v>
      </c>
      <c r="C8" s="6" t="s">
        <v>3</v>
      </c>
      <c r="D8" s="3">
        <v>770344</v>
      </c>
      <c r="E8" s="3"/>
      <c r="F8" s="3">
        <f>D8</f>
        <v>770344</v>
      </c>
      <c r="G8" s="2"/>
    </row>
    <row r="9" spans="1:7" ht="15" customHeight="1">
      <c r="A9" s="6"/>
      <c r="B9" s="2" t="s">
        <v>4</v>
      </c>
      <c r="C9" s="6" t="s">
        <v>3</v>
      </c>
      <c r="D9" s="2"/>
      <c r="E9" s="3"/>
      <c r="F9" s="3"/>
      <c r="G9" s="2"/>
    </row>
    <row r="10" spans="1:7" ht="15" customHeight="1">
      <c r="A10" s="6">
        <v>2</v>
      </c>
      <c r="B10" s="2" t="s">
        <v>5</v>
      </c>
      <c r="C10" s="6" t="s">
        <v>6</v>
      </c>
      <c r="D10" s="3">
        <v>231819</v>
      </c>
      <c r="E10" s="3"/>
      <c r="F10" s="3">
        <f>D10</f>
        <v>231819</v>
      </c>
      <c r="G10" s="2"/>
    </row>
    <row r="11" spans="1:7" ht="15" customHeight="1">
      <c r="A11" s="6">
        <v>3</v>
      </c>
      <c r="B11" s="2" t="s">
        <v>7</v>
      </c>
      <c r="C11" s="6" t="s">
        <v>3</v>
      </c>
      <c r="D11" s="3">
        <f>D13*D8/100</f>
        <v>21184.46</v>
      </c>
      <c r="E11" s="3">
        <f>E13*D8/100</f>
        <v>7703.44</v>
      </c>
      <c r="F11" s="3">
        <f>D11</f>
        <v>21184.46</v>
      </c>
      <c r="G11" s="2"/>
    </row>
    <row r="12" spans="1:7" ht="15" customHeight="1">
      <c r="A12" s="6"/>
      <c r="B12" s="2" t="s">
        <v>8</v>
      </c>
      <c r="C12" s="6" t="s">
        <v>3</v>
      </c>
      <c r="D12" s="3">
        <f>D14*D8/100</f>
        <v>616275.2</v>
      </c>
      <c r="E12" s="3">
        <f>E14*D8/100</f>
        <v>602794.18</v>
      </c>
      <c r="F12" s="3">
        <f>D12</f>
        <v>616275.2</v>
      </c>
      <c r="G12" s="2"/>
    </row>
    <row r="13" spans="1:7" ht="15" customHeight="1">
      <c r="A13" s="6">
        <v>4</v>
      </c>
      <c r="B13" s="2" t="s">
        <v>9</v>
      </c>
      <c r="C13" s="6" t="s">
        <v>10</v>
      </c>
      <c r="D13" s="2">
        <f>D14-77.25</f>
        <v>2.75</v>
      </c>
      <c r="E13" s="2">
        <v>1</v>
      </c>
      <c r="F13" s="7">
        <f>D13</f>
        <v>2.75</v>
      </c>
      <c r="G13" s="2">
        <v>4</v>
      </c>
    </row>
    <row r="14" spans="1:7" ht="15" customHeight="1">
      <c r="A14" s="6"/>
      <c r="B14" s="2" t="s">
        <v>11</v>
      </c>
      <c r="C14" s="6" t="s">
        <v>10</v>
      </c>
      <c r="D14" s="2">
        <v>80</v>
      </c>
      <c r="E14" s="2">
        <v>78.25</v>
      </c>
      <c r="F14" s="3">
        <f>D14</f>
        <v>80</v>
      </c>
      <c r="G14" s="2">
        <v>84</v>
      </c>
    </row>
    <row r="15" spans="1:7" ht="15" customHeight="1">
      <c r="A15" s="6"/>
      <c r="B15" s="2" t="s">
        <v>12</v>
      </c>
      <c r="C15" s="6" t="s">
        <v>10</v>
      </c>
      <c r="D15" s="2"/>
      <c r="E15" s="2"/>
      <c r="F15" s="3"/>
      <c r="G15" s="2"/>
    </row>
    <row r="16" spans="1:7" ht="15" customHeight="1">
      <c r="A16" s="6"/>
      <c r="B16" s="2" t="s">
        <v>13</v>
      </c>
      <c r="C16" s="6" t="s">
        <v>10</v>
      </c>
      <c r="D16" s="2"/>
      <c r="E16" s="2"/>
      <c r="F16" s="3"/>
      <c r="G16" s="2"/>
    </row>
    <row r="17" spans="1:7" ht="15" customHeight="1">
      <c r="A17" s="6">
        <v>5</v>
      </c>
      <c r="B17" s="2" t="s">
        <v>14</v>
      </c>
      <c r="C17" s="6" t="s">
        <v>3</v>
      </c>
      <c r="D17" s="3">
        <f>D19*D8/100</f>
        <v>43062.2296</v>
      </c>
      <c r="E17" s="3">
        <f>E19*D8/100</f>
        <v>19951.9096</v>
      </c>
      <c r="F17" s="3">
        <f>D17</f>
        <v>43062.2296</v>
      </c>
      <c r="G17" s="2"/>
    </row>
    <row r="18" spans="1:7" ht="15" customHeight="1">
      <c r="A18" s="6"/>
      <c r="B18" s="2" t="s">
        <v>15</v>
      </c>
      <c r="C18" s="6" t="s">
        <v>3</v>
      </c>
      <c r="D18" s="3">
        <f>D20*D8/100</f>
        <v>269620.4</v>
      </c>
      <c r="E18" s="3">
        <f>E20*D8/100</f>
        <v>246510.08</v>
      </c>
      <c r="F18" s="3">
        <f>D18</f>
        <v>269620.4</v>
      </c>
      <c r="G18" s="2"/>
    </row>
    <row r="19" spans="1:7" ht="15" customHeight="1">
      <c r="A19" s="6">
        <v>6</v>
      </c>
      <c r="B19" s="2" t="s">
        <v>16</v>
      </c>
      <c r="C19" s="6" t="s">
        <v>10</v>
      </c>
      <c r="D19" s="2">
        <f>D20-29.41</f>
        <v>5.59</v>
      </c>
      <c r="E19" s="2">
        <f>E20-29.41</f>
        <v>2.59</v>
      </c>
      <c r="F19" s="7">
        <f>D19</f>
        <v>5.59</v>
      </c>
      <c r="G19" s="2">
        <v>7</v>
      </c>
    </row>
    <row r="20" spans="1:7" ht="15" customHeight="1">
      <c r="A20" s="6"/>
      <c r="B20" s="2" t="s">
        <v>17</v>
      </c>
      <c r="C20" s="6" t="s">
        <v>10</v>
      </c>
      <c r="D20" s="2">
        <v>35</v>
      </c>
      <c r="E20" s="2">
        <v>32</v>
      </c>
      <c r="F20" s="3">
        <f>D20</f>
        <v>35</v>
      </c>
      <c r="G20" s="2">
        <v>40</v>
      </c>
    </row>
    <row r="21" spans="1:7" ht="15" customHeight="1">
      <c r="A21" s="6"/>
      <c r="B21" s="2" t="s">
        <v>18</v>
      </c>
      <c r="C21" s="6"/>
      <c r="D21" s="2"/>
      <c r="E21" s="2"/>
      <c r="F21" s="3"/>
      <c r="G21" s="2"/>
    </row>
    <row r="22" spans="1:7" ht="15" customHeight="1">
      <c r="A22" s="6"/>
      <c r="B22" s="2" t="s">
        <v>19</v>
      </c>
      <c r="C22" s="6"/>
      <c r="D22" s="2"/>
      <c r="E22" s="2"/>
      <c r="F22" s="3"/>
      <c r="G22" s="2"/>
    </row>
    <row r="23" spans="1:7" ht="15" customHeight="1">
      <c r="A23" s="6" t="s">
        <v>42</v>
      </c>
      <c r="B23" s="2" t="s">
        <v>20</v>
      </c>
      <c r="C23" s="6"/>
      <c r="D23" s="2"/>
      <c r="E23" s="3"/>
      <c r="F23" s="3"/>
      <c r="G23" s="2"/>
    </row>
    <row r="24" spans="1:7" ht="15" customHeight="1">
      <c r="A24" s="6"/>
      <c r="B24" s="2" t="s">
        <v>21</v>
      </c>
      <c r="C24" s="6" t="s">
        <v>6</v>
      </c>
      <c r="D24" s="3">
        <f>D26*D10/100</f>
        <v>6954.57</v>
      </c>
      <c r="E24" s="3">
        <f>F24/2</f>
        <v>2250</v>
      </c>
      <c r="F24" s="3">
        <v>4500</v>
      </c>
      <c r="G24" s="175">
        <v>4441</v>
      </c>
    </row>
    <row r="25" spans="1:7" ht="15" customHeight="1">
      <c r="A25" s="6"/>
      <c r="B25" s="2" t="s">
        <v>22</v>
      </c>
      <c r="C25" s="6" t="s">
        <v>6</v>
      </c>
      <c r="D25" s="3">
        <f>D27*D10/100</f>
        <v>140644.5873</v>
      </c>
      <c r="E25" s="3">
        <f>D25-E24</f>
        <v>138394.5873</v>
      </c>
      <c r="F25" s="3">
        <f>E25+E24</f>
        <v>140644.5873</v>
      </c>
      <c r="G25" s="3">
        <f>F25+G24</f>
        <v>145085.5873</v>
      </c>
    </row>
    <row r="26" spans="1:7" ht="15" customHeight="1">
      <c r="A26" s="6"/>
      <c r="B26" s="2" t="s">
        <v>23</v>
      </c>
      <c r="C26" s="6" t="s">
        <v>10</v>
      </c>
      <c r="D26" s="2">
        <f>D27-57.67</f>
        <v>3</v>
      </c>
      <c r="E26" s="2">
        <v>1.5</v>
      </c>
      <c r="F26" s="3">
        <v>3</v>
      </c>
      <c r="G26" s="11">
        <f>G24*100/F10</f>
        <v>1.915718728835859</v>
      </c>
    </row>
    <row r="27" spans="1:7" ht="15" customHeight="1">
      <c r="A27" s="6"/>
      <c r="B27" s="2" t="s">
        <v>24</v>
      </c>
      <c r="C27" s="6" t="s">
        <v>10</v>
      </c>
      <c r="D27" s="2">
        <v>60.67</v>
      </c>
      <c r="E27" s="11">
        <f>E25*100/F10</f>
        <v>59.699415190299334</v>
      </c>
      <c r="F27" s="176">
        <f>F25*100/F10</f>
        <v>60.67</v>
      </c>
      <c r="G27" s="177">
        <f>G25*100/F10</f>
        <v>62.58571872883586</v>
      </c>
    </row>
    <row r="28" spans="1:7" ht="15" customHeight="1">
      <c r="A28" s="6"/>
      <c r="B28" s="2" t="s">
        <v>25</v>
      </c>
      <c r="C28" s="6" t="s">
        <v>10</v>
      </c>
      <c r="D28" s="2"/>
      <c r="E28" s="2"/>
      <c r="F28" s="3"/>
      <c r="G28" s="2"/>
    </row>
    <row r="29" spans="1:7" ht="15" customHeight="1">
      <c r="A29" s="6"/>
      <c r="B29" s="2" t="s">
        <v>26</v>
      </c>
      <c r="C29" s="6" t="s">
        <v>10</v>
      </c>
      <c r="D29" s="2"/>
      <c r="E29" s="2"/>
      <c r="F29" s="3"/>
      <c r="G29" s="2"/>
    </row>
    <row r="30" spans="1:7" ht="25.5">
      <c r="A30" s="4" t="s">
        <v>43</v>
      </c>
      <c r="B30" s="5" t="s">
        <v>47</v>
      </c>
      <c r="C30" s="6"/>
      <c r="D30" s="2"/>
      <c r="E30" s="2"/>
      <c r="F30" s="3"/>
      <c r="G30" s="2"/>
    </row>
    <row r="31" spans="1:7" ht="15" customHeight="1">
      <c r="A31" s="6">
        <v>1</v>
      </c>
      <c r="B31" s="2" t="s">
        <v>27</v>
      </c>
      <c r="C31" s="6"/>
      <c r="D31" s="2"/>
      <c r="E31" s="2"/>
      <c r="F31" s="3"/>
      <c r="G31" s="2"/>
    </row>
    <row r="32" spans="1:7" ht="15" customHeight="1">
      <c r="A32" s="6"/>
      <c r="B32" s="2" t="s">
        <v>28</v>
      </c>
      <c r="C32" s="6" t="s">
        <v>29</v>
      </c>
      <c r="D32" s="2"/>
      <c r="E32" s="2"/>
      <c r="F32" s="3"/>
      <c r="G32" s="2"/>
    </row>
    <row r="33" spans="1:7" ht="15" customHeight="1">
      <c r="A33" s="6"/>
      <c r="B33" s="2" t="s">
        <v>30</v>
      </c>
      <c r="C33" s="6" t="s">
        <v>29</v>
      </c>
      <c r="D33" s="2"/>
      <c r="E33" s="2"/>
      <c r="F33" s="3"/>
      <c r="G33" s="2"/>
    </row>
    <row r="34" spans="1:7" ht="15" customHeight="1">
      <c r="A34" s="6"/>
      <c r="B34" s="2" t="s">
        <v>31</v>
      </c>
      <c r="C34" s="6" t="s">
        <v>29</v>
      </c>
      <c r="D34" s="2"/>
      <c r="E34" s="2"/>
      <c r="F34" s="3"/>
      <c r="G34" s="2"/>
    </row>
    <row r="35" spans="1:7" ht="15" customHeight="1">
      <c r="A35" s="6"/>
      <c r="B35" s="2" t="s">
        <v>32</v>
      </c>
      <c r="C35" s="6" t="s">
        <v>10</v>
      </c>
      <c r="D35" s="2"/>
      <c r="E35" s="2"/>
      <c r="F35" s="3"/>
      <c r="G35" s="2"/>
    </row>
    <row r="36" spans="1:7" ht="15" customHeight="1">
      <c r="A36" s="6"/>
      <c r="B36" s="2" t="s">
        <v>33</v>
      </c>
      <c r="C36" s="6" t="s">
        <v>10</v>
      </c>
      <c r="D36" s="2"/>
      <c r="E36" s="2"/>
      <c r="F36" s="3"/>
      <c r="G36" s="2"/>
    </row>
    <row r="37" spans="1:7" ht="15" customHeight="1">
      <c r="A37" s="6">
        <v>2</v>
      </c>
      <c r="B37" s="2" t="s">
        <v>50</v>
      </c>
      <c r="C37" s="6"/>
      <c r="D37" s="2"/>
      <c r="E37" s="2"/>
      <c r="F37" s="8"/>
      <c r="G37" s="2"/>
    </row>
    <row r="38" spans="1:7" ht="15" customHeight="1">
      <c r="A38" s="6"/>
      <c r="B38" s="2" t="s">
        <v>51</v>
      </c>
      <c r="C38" s="6" t="s">
        <v>29</v>
      </c>
      <c r="D38" s="2">
        <v>404</v>
      </c>
      <c r="E38" s="2">
        <v>404</v>
      </c>
      <c r="F38" s="3">
        <f>D38</f>
        <v>404</v>
      </c>
      <c r="G38" s="2"/>
    </row>
    <row r="39" spans="1:9" ht="15" customHeight="1">
      <c r="A39" s="6"/>
      <c r="B39" s="2" t="s">
        <v>52</v>
      </c>
      <c r="C39" s="6" t="s">
        <v>29</v>
      </c>
      <c r="D39" s="2">
        <v>17</v>
      </c>
      <c r="E39" s="2">
        <v>7</v>
      </c>
      <c r="F39" s="3">
        <v>8</v>
      </c>
      <c r="G39" s="2">
        <v>5</v>
      </c>
      <c r="I39" s="9"/>
    </row>
    <row r="40" spans="1:7" ht="15" customHeight="1">
      <c r="A40" s="6"/>
      <c r="B40" s="2" t="s">
        <v>53</v>
      </c>
      <c r="C40" s="6" t="s">
        <v>29</v>
      </c>
      <c r="D40" s="2">
        <v>374</v>
      </c>
      <c r="E40" s="2">
        <v>364</v>
      </c>
      <c r="F40" s="3">
        <f>D40</f>
        <v>374</v>
      </c>
      <c r="G40" s="2"/>
    </row>
    <row r="41" spans="1:7" ht="15" customHeight="1">
      <c r="A41" s="6"/>
      <c r="B41" s="2" t="s">
        <v>54</v>
      </c>
      <c r="C41" s="6" t="s">
        <v>10</v>
      </c>
      <c r="D41" s="2">
        <v>4.13</v>
      </c>
      <c r="E41" s="11">
        <f>E39/E38*100</f>
        <v>1.7326732673267329</v>
      </c>
      <c r="F41" s="7">
        <f>D41</f>
        <v>4.13</v>
      </c>
      <c r="G41" s="2">
        <v>58</v>
      </c>
    </row>
    <row r="42" spans="1:7" ht="15" customHeight="1">
      <c r="A42" s="6"/>
      <c r="B42" s="2" t="s">
        <v>55</v>
      </c>
      <c r="C42" s="6" t="s">
        <v>10</v>
      </c>
      <c r="D42" s="2">
        <v>92.5</v>
      </c>
      <c r="E42" s="2">
        <v>90.1</v>
      </c>
      <c r="F42" s="8">
        <f>D42</f>
        <v>92.5</v>
      </c>
      <c r="G42" s="2">
        <v>96.3</v>
      </c>
    </row>
    <row r="43" spans="1:7" ht="15" customHeight="1">
      <c r="A43" s="6">
        <v>3</v>
      </c>
      <c r="B43" s="2" t="s">
        <v>61</v>
      </c>
      <c r="C43" s="6"/>
      <c r="D43" s="2"/>
      <c r="E43" s="2"/>
      <c r="F43" s="8"/>
      <c r="G43" s="2"/>
    </row>
    <row r="44" spans="1:9" ht="15" customHeight="1">
      <c r="A44" s="6"/>
      <c r="B44" s="2" t="s">
        <v>56</v>
      </c>
      <c r="C44" s="6" t="s">
        <v>29</v>
      </c>
      <c r="D44" s="2">
        <v>110</v>
      </c>
      <c r="E44" s="2">
        <v>110</v>
      </c>
      <c r="F44" s="3">
        <f>D44</f>
        <v>110</v>
      </c>
      <c r="G44" s="2">
        <v>110</v>
      </c>
      <c r="I44" s="9"/>
    </row>
    <row r="45" spans="1:7" ht="15" customHeight="1">
      <c r="A45" s="6"/>
      <c r="B45" s="2" t="s">
        <v>57</v>
      </c>
      <c r="C45" s="6" t="s">
        <v>29</v>
      </c>
      <c r="D45" s="2">
        <v>6</v>
      </c>
      <c r="E45" s="2">
        <v>3</v>
      </c>
      <c r="F45" s="3">
        <f>D45</f>
        <v>6</v>
      </c>
      <c r="G45" s="2">
        <v>5</v>
      </c>
    </row>
    <row r="46" spans="1:7" ht="15" customHeight="1">
      <c r="A46" s="6"/>
      <c r="B46" s="2" t="s">
        <v>58</v>
      </c>
      <c r="C46" s="6" t="s">
        <v>29</v>
      </c>
      <c r="D46" s="2">
        <v>103</v>
      </c>
      <c r="E46" s="2">
        <v>98</v>
      </c>
      <c r="F46" s="3">
        <v>101</v>
      </c>
      <c r="G46" s="2">
        <v>106</v>
      </c>
    </row>
    <row r="47" spans="1:7" ht="15" customHeight="1">
      <c r="A47" s="6"/>
      <c r="B47" s="2" t="s">
        <v>59</v>
      </c>
      <c r="C47" s="6" t="s">
        <v>10</v>
      </c>
      <c r="D47" s="2">
        <v>5.42</v>
      </c>
      <c r="E47" s="11">
        <f>E45*100/E44</f>
        <v>2.727272727272727</v>
      </c>
      <c r="F47" s="7">
        <f>D47</f>
        <v>5.42</v>
      </c>
      <c r="G47" s="2">
        <v>4.5</v>
      </c>
    </row>
    <row r="48" spans="1:7" ht="15" customHeight="1">
      <c r="A48" s="6"/>
      <c r="B48" s="2" t="s">
        <v>60</v>
      </c>
      <c r="C48" s="6" t="s">
        <v>10</v>
      </c>
      <c r="D48" s="2">
        <v>93.6</v>
      </c>
      <c r="E48" s="11">
        <f>E46*100/E44</f>
        <v>89.0909090909091</v>
      </c>
      <c r="F48" s="8">
        <f>F46*100/F44</f>
        <v>91.81818181818181</v>
      </c>
      <c r="G48" s="11">
        <f>G46*100/G44</f>
        <v>96.36363636363636</v>
      </c>
    </row>
    <row r="49" spans="1:7" ht="15" customHeight="1">
      <c r="A49" s="6" t="s">
        <v>44</v>
      </c>
      <c r="B49" s="2" t="s">
        <v>34</v>
      </c>
      <c r="C49" s="6"/>
      <c r="D49" s="2"/>
      <c r="E49" s="2"/>
      <c r="F49" s="3">
        <f>D49</f>
        <v>0</v>
      </c>
      <c r="G49" s="2"/>
    </row>
    <row r="50" spans="1:7" ht="15" customHeight="1">
      <c r="A50" s="6"/>
      <c r="B50" s="2" t="s">
        <v>35</v>
      </c>
      <c r="C50" s="6" t="s">
        <v>6</v>
      </c>
      <c r="D50" s="3">
        <v>26377</v>
      </c>
      <c r="E50" s="3">
        <f>E51*I50/100</f>
        <v>0</v>
      </c>
      <c r="F50" s="3">
        <f>D50</f>
        <v>26377</v>
      </c>
      <c r="G50" s="3"/>
    </row>
    <row r="51" spans="1:8" ht="15" customHeight="1">
      <c r="A51" s="6"/>
      <c r="B51" s="2" t="s">
        <v>36</v>
      </c>
      <c r="C51" s="6" t="s">
        <v>10</v>
      </c>
      <c r="D51" s="2">
        <v>55</v>
      </c>
      <c r="E51" s="2">
        <v>54.28</v>
      </c>
      <c r="F51" s="3">
        <f>D51</f>
        <v>55</v>
      </c>
      <c r="G51" s="2"/>
      <c r="H51" s="10"/>
    </row>
    <row r="52" spans="1:7" ht="15" customHeight="1">
      <c r="A52" s="6"/>
      <c r="B52" s="2" t="s">
        <v>37</v>
      </c>
      <c r="C52" s="6" t="s">
        <v>10</v>
      </c>
      <c r="D52" s="2"/>
      <c r="E52" s="2"/>
      <c r="F52" s="3"/>
      <c r="G52" s="2"/>
    </row>
    <row r="53" spans="1:7" ht="15" customHeight="1">
      <c r="A53" s="6"/>
      <c r="B53" s="2" t="s">
        <v>38</v>
      </c>
      <c r="C53" s="6" t="s">
        <v>10</v>
      </c>
      <c r="D53" s="2">
        <v>28.02</v>
      </c>
      <c r="E53" s="2">
        <v>27.52</v>
      </c>
      <c r="F53" s="7">
        <f>D53</f>
        <v>28.02</v>
      </c>
      <c r="G53" s="2"/>
    </row>
    <row r="54" spans="1:7" ht="15" customHeight="1">
      <c r="A54" s="6"/>
      <c r="B54" s="2" t="s">
        <v>39</v>
      </c>
      <c r="C54" s="6" t="s">
        <v>10</v>
      </c>
      <c r="D54" s="2"/>
      <c r="E54" s="2"/>
      <c r="F54" s="3"/>
      <c r="G54" s="2"/>
    </row>
  </sheetData>
  <sheetProtection/>
  <mergeCells count="10">
    <mergeCell ref="A1:G1"/>
    <mergeCell ref="A2:G2"/>
    <mergeCell ref="G4:G6"/>
    <mergeCell ref="F5:F6"/>
    <mergeCell ref="A4:A6"/>
    <mergeCell ref="D4:D6"/>
    <mergeCell ref="B4:B6"/>
    <mergeCell ref="C4:C6"/>
    <mergeCell ref="E5:E6"/>
    <mergeCell ref="E4:F4"/>
  </mergeCells>
  <printOptions horizontalCentered="1" verticalCentered="1"/>
  <pageMargins left="0" right="0" top="0.33" bottom="0.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33"/>
  <sheetViews>
    <sheetView zoomScale="90" zoomScaleNormal="90" zoomScalePageLayoutView="0" workbookViewId="0" topLeftCell="A1">
      <selection activeCell="A2" sqref="A2:AR2"/>
    </sheetView>
  </sheetViews>
  <sheetFormatPr defaultColWidth="9.140625" defaultRowHeight="12.75"/>
  <cols>
    <col min="1" max="1" width="6.421875" style="116" customWidth="1"/>
    <col min="2" max="2" width="44.57421875" style="117" customWidth="1"/>
    <col min="3" max="3" width="7.140625" style="117" customWidth="1"/>
    <col min="4" max="4" width="9.8515625" style="117" customWidth="1"/>
    <col min="5" max="43" width="3.57421875" style="116" customWidth="1"/>
    <col min="44" max="16384" width="9.140625" style="116" customWidth="1"/>
  </cols>
  <sheetData>
    <row r="1" spans="1:44" ht="68.25" customHeight="1">
      <c r="A1" s="698" t="s">
        <v>833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</row>
    <row r="2" spans="1:44" ht="15.75">
      <c r="A2" s="717" t="s">
        <v>850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</row>
    <row r="3" spans="1:43" ht="10.5" customHeight="1">
      <c r="A3" s="113"/>
      <c r="B3" s="114"/>
      <c r="C3" s="114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1:43" s="125" customFormat="1" ht="12">
      <c r="A4" s="710" t="s">
        <v>40</v>
      </c>
      <c r="B4" s="710" t="s">
        <v>243</v>
      </c>
      <c r="C4" s="715" t="s">
        <v>260</v>
      </c>
      <c r="D4" s="715" t="s">
        <v>657</v>
      </c>
      <c r="E4" s="712" t="s">
        <v>233</v>
      </c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4"/>
      <c r="Q4" s="712" t="s">
        <v>234</v>
      </c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4"/>
      <c r="AC4" s="712" t="s">
        <v>244</v>
      </c>
      <c r="AD4" s="713"/>
      <c r="AE4" s="713"/>
      <c r="AF4" s="713"/>
      <c r="AG4" s="713"/>
      <c r="AH4" s="713"/>
      <c r="AI4" s="714"/>
      <c r="AJ4" s="712" t="s">
        <v>321</v>
      </c>
      <c r="AK4" s="713"/>
      <c r="AL4" s="713"/>
      <c r="AM4" s="714"/>
      <c r="AN4" s="712" t="s">
        <v>322</v>
      </c>
      <c r="AO4" s="713"/>
      <c r="AP4" s="713"/>
      <c r="AQ4" s="714"/>
    </row>
    <row r="5" spans="1:43" s="125" customFormat="1" ht="12">
      <c r="A5" s="711"/>
      <c r="B5" s="711"/>
      <c r="C5" s="716"/>
      <c r="D5" s="716"/>
      <c r="E5" s="145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7">
        <v>12</v>
      </c>
      <c r="Q5" s="145">
        <v>1</v>
      </c>
      <c r="R5" s="146">
        <v>2</v>
      </c>
      <c r="S5" s="146">
        <v>3</v>
      </c>
      <c r="T5" s="146">
        <v>4</v>
      </c>
      <c r="U5" s="146">
        <v>5</v>
      </c>
      <c r="V5" s="146">
        <v>6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C5" s="145">
        <v>1</v>
      </c>
      <c r="AD5" s="146">
        <v>2</v>
      </c>
      <c r="AE5" s="146">
        <v>3</v>
      </c>
      <c r="AF5" s="146">
        <v>4</v>
      </c>
      <c r="AG5" s="146" t="s">
        <v>832</v>
      </c>
      <c r="AH5" s="146">
        <v>11</v>
      </c>
      <c r="AI5" s="147">
        <v>12</v>
      </c>
      <c r="AJ5" s="145">
        <v>1</v>
      </c>
      <c r="AK5" s="146">
        <v>2</v>
      </c>
      <c r="AL5" s="146" t="s">
        <v>832</v>
      </c>
      <c r="AM5" s="147">
        <v>12</v>
      </c>
      <c r="AN5" s="145">
        <v>1</v>
      </c>
      <c r="AO5" s="146">
        <v>2</v>
      </c>
      <c r="AP5" s="146" t="s">
        <v>832</v>
      </c>
      <c r="AQ5" s="147">
        <v>12</v>
      </c>
    </row>
    <row r="6" spans="1:43" s="125" customFormat="1" ht="19.5" customHeight="1">
      <c r="A6" s="118" t="s">
        <v>41</v>
      </c>
      <c r="B6" s="119" t="s">
        <v>245</v>
      </c>
      <c r="C6" s="120">
        <v>14461</v>
      </c>
      <c r="D6" s="121">
        <v>222899.9</v>
      </c>
      <c r="E6" s="12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  <c r="AC6" s="122"/>
      <c r="AD6" s="123"/>
      <c r="AE6" s="123"/>
      <c r="AF6" s="123"/>
      <c r="AG6" s="123"/>
      <c r="AH6" s="123"/>
      <c r="AI6" s="124"/>
      <c r="AJ6" s="122"/>
      <c r="AK6" s="123"/>
      <c r="AL6" s="123"/>
      <c r="AM6" s="124"/>
      <c r="AN6" s="122"/>
      <c r="AO6" s="123"/>
      <c r="AP6" s="123"/>
      <c r="AQ6" s="124"/>
    </row>
    <row r="7" spans="1:43" s="125" customFormat="1" ht="18" customHeight="1">
      <c r="A7" s="126">
        <v>1</v>
      </c>
      <c r="B7" s="127" t="s">
        <v>246</v>
      </c>
      <c r="C7" s="128"/>
      <c r="D7" s="128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Q7" s="129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  <c r="AC7" s="129"/>
      <c r="AD7" s="130"/>
      <c r="AE7" s="130"/>
      <c r="AF7" s="130"/>
      <c r="AG7" s="130"/>
      <c r="AH7" s="130"/>
      <c r="AI7" s="131"/>
      <c r="AJ7" s="129"/>
      <c r="AK7" s="130"/>
      <c r="AL7" s="130"/>
      <c r="AM7" s="131"/>
      <c r="AN7" s="129"/>
      <c r="AO7" s="130"/>
      <c r="AP7" s="130"/>
      <c r="AQ7" s="131"/>
    </row>
    <row r="8" spans="1:43" s="125" customFormat="1" ht="18" customHeight="1">
      <c r="A8" s="126">
        <v>2</v>
      </c>
      <c r="B8" s="127" t="s">
        <v>247</v>
      </c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29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/>
      <c r="AC8" s="129"/>
      <c r="AD8" s="130"/>
      <c r="AE8" s="130"/>
      <c r="AF8" s="130"/>
      <c r="AG8" s="130"/>
      <c r="AH8" s="130"/>
      <c r="AI8" s="131"/>
      <c r="AJ8" s="129"/>
      <c r="AK8" s="130"/>
      <c r="AL8" s="130"/>
      <c r="AM8" s="131"/>
      <c r="AN8" s="129"/>
      <c r="AO8" s="130"/>
      <c r="AP8" s="130"/>
      <c r="AQ8" s="131"/>
    </row>
    <row r="9" spans="1:43" s="125" customFormat="1" ht="18" customHeight="1">
      <c r="A9" s="126">
        <v>3</v>
      </c>
      <c r="B9" s="127" t="s">
        <v>248</v>
      </c>
      <c r="C9" s="128"/>
      <c r="D9" s="128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129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29"/>
      <c r="AD9" s="130"/>
      <c r="AE9" s="130"/>
      <c r="AF9" s="130"/>
      <c r="AG9" s="130"/>
      <c r="AH9" s="130"/>
      <c r="AI9" s="131"/>
      <c r="AJ9" s="129"/>
      <c r="AK9" s="130"/>
      <c r="AL9" s="130"/>
      <c r="AM9" s="131"/>
      <c r="AN9" s="129"/>
      <c r="AO9" s="130"/>
      <c r="AP9" s="130"/>
      <c r="AQ9" s="131"/>
    </row>
    <row r="10" spans="1:43" s="125" customFormat="1" ht="18" customHeight="1">
      <c r="A10" s="126">
        <v>4</v>
      </c>
      <c r="B10" s="127" t="s">
        <v>262</v>
      </c>
      <c r="C10" s="128"/>
      <c r="D10" s="128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29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C10" s="129"/>
      <c r="AD10" s="130"/>
      <c r="AE10" s="130"/>
      <c r="AF10" s="130"/>
      <c r="AG10" s="130"/>
      <c r="AH10" s="130"/>
      <c r="AI10" s="131"/>
      <c r="AJ10" s="129"/>
      <c r="AK10" s="130"/>
      <c r="AL10" s="130"/>
      <c r="AM10" s="131"/>
      <c r="AN10" s="129"/>
      <c r="AO10" s="130"/>
      <c r="AP10" s="130"/>
      <c r="AQ10" s="131"/>
    </row>
    <row r="11" spans="1:43" s="125" customFormat="1" ht="18" customHeight="1">
      <c r="A11" s="126">
        <v>5</v>
      </c>
      <c r="B11" s="127" t="s">
        <v>249</v>
      </c>
      <c r="C11" s="128"/>
      <c r="D11" s="128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129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129"/>
      <c r="AD11" s="130"/>
      <c r="AE11" s="130"/>
      <c r="AF11" s="130"/>
      <c r="AG11" s="130"/>
      <c r="AH11" s="130"/>
      <c r="AI11" s="131"/>
      <c r="AJ11" s="129"/>
      <c r="AK11" s="130"/>
      <c r="AL11" s="130"/>
      <c r="AM11" s="131"/>
      <c r="AN11" s="129"/>
      <c r="AO11" s="130"/>
      <c r="AP11" s="130"/>
      <c r="AQ11" s="131"/>
    </row>
    <row r="12" spans="1:43" s="125" customFormat="1" ht="18" customHeight="1">
      <c r="A12" s="126">
        <v>6</v>
      </c>
      <c r="B12" s="127" t="s">
        <v>250</v>
      </c>
      <c r="C12" s="128"/>
      <c r="D12" s="128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29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129"/>
      <c r="AD12" s="130"/>
      <c r="AE12" s="130"/>
      <c r="AF12" s="130"/>
      <c r="AG12" s="130"/>
      <c r="AH12" s="130"/>
      <c r="AI12" s="131"/>
      <c r="AJ12" s="129"/>
      <c r="AK12" s="130"/>
      <c r="AL12" s="130"/>
      <c r="AM12" s="131"/>
      <c r="AN12" s="129"/>
      <c r="AO12" s="130"/>
      <c r="AP12" s="130"/>
      <c r="AQ12" s="131"/>
    </row>
    <row r="13" spans="1:43" s="153" customFormat="1" ht="18" customHeight="1">
      <c r="A13" s="126"/>
      <c r="B13" s="149" t="s">
        <v>251</v>
      </c>
      <c r="C13" s="148">
        <v>4516</v>
      </c>
      <c r="D13" s="132">
        <v>68545.5</v>
      </c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  <c r="Q13" s="150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2"/>
      <c r="AC13" s="150"/>
      <c r="AD13" s="151"/>
      <c r="AE13" s="151"/>
      <c r="AF13" s="151"/>
      <c r="AG13" s="151"/>
      <c r="AH13" s="151"/>
      <c r="AI13" s="152"/>
      <c r="AJ13" s="150"/>
      <c r="AK13" s="151"/>
      <c r="AL13" s="151"/>
      <c r="AM13" s="152"/>
      <c r="AN13" s="150"/>
      <c r="AO13" s="151"/>
      <c r="AP13" s="151"/>
      <c r="AQ13" s="152"/>
    </row>
    <row r="14" spans="1:43" s="153" customFormat="1" ht="18" customHeight="1">
      <c r="A14" s="126"/>
      <c r="B14" s="149" t="s">
        <v>252</v>
      </c>
      <c r="C14" s="148">
        <v>1128</v>
      </c>
      <c r="D14" s="132">
        <v>22243.8</v>
      </c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50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2"/>
      <c r="AC14" s="150"/>
      <c r="AD14" s="151"/>
      <c r="AE14" s="151"/>
      <c r="AF14" s="151"/>
      <c r="AG14" s="151"/>
      <c r="AH14" s="151"/>
      <c r="AI14" s="152"/>
      <c r="AJ14" s="150"/>
      <c r="AK14" s="151"/>
      <c r="AL14" s="151"/>
      <c r="AM14" s="152"/>
      <c r="AN14" s="150"/>
      <c r="AO14" s="151"/>
      <c r="AP14" s="151"/>
      <c r="AQ14" s="152"/>
    </row>
    <row r="15" spans="1:43" s="153" customFormat="1" ht="18" customHeight="1">
      <c r="A15" s="126"/>
      <c r="B15" s="197" t="s">
        <v>519</v>
      </c>
      <c r="C15" s="148">
        <v>2410</v>
      </c>
      <c r="D15" s="132">
        <v>33181.1</v>
      </c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150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1"/>
      <c r="AI15" s="152"/>
      <c r="AJ15" s="150"/>
      <c r="AK15" s="151"/>
      <c r="AL15" s="151"/>
      <c r="AM15" s="152"/>
      <c r="AN15" s="150"/>
      <c r="AO15" s="151"/>
      <c r="AP15" s="151"/>
      <c r="AQ15" s="152"/>
    </row>
    <row r="16" spans="1:43" s="153" customFormat="1" ht="18" customHeight="1">
      <c r="A16" s="126"/>
      <c r="B16" s="149" t="s">
        <v>253</v>
      </c>
      <c r="C16" s="148">
        <v>1818</v>
      </c>
      <c r="D16" s="132">
        <v>33699.1</v>
      </c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2"/>
      <c r="Q16" s="150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150"/>
      <c r="AD16" s="151"/>
      <c r="AE16" s="151"/>
      <c r="AF16" s="151"/>
      <c r="AG16" s="151"/>
      <c r="AH16" s="151"/>
      <c r="AI16" s="152"/>
      <c r="AJ16" s="150"/>
      <c r="AK16" s="151"/>
      <c r="AL16" s="151"/>
      <c r="AM16" s="152"/>
      <c r="AN16" s="150"/>
      <c r="AO16" s="151"/>
      <c r="AP16" s="151"/>
      <c r="AQ16" s="152"/>
    </row>
    <row r="17" spans="1:43" s="153" customFormat="1" ht="18" customHeight="1">
      <c r="A17" s="126"/>
      <c r="B17" s="149" t="s">
        <v>254</v>
      </c>
      <c r="C17" s="148">
        <v>2437</v>
      </c>
      <c r="D17" s="133">
        <v>32491.3</v>
      </c>
      <c r="E17" s="150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150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  <c r="AC17" s="150"/>
      <c r="AD17" s="151"/>
      <c r="AE17" s="151"/>
      <c r="AF17" s="151"/>
      <c r="AG17" s="151"/>
      <c r="AH17" s="151"/>
      <c r="AI17" s="152"/>
      <c r="AJ17" s="150"/>
      <c r="AK17" s="151"/>
      <c r="AL17" s="151"/>
      <c r="AM17" s="152"/>
      <c r="AN17" s="150"/>
      <c r="AO17" s="151"/>
      <c r="AP17" s="151"/>
      <c r="AQ17" s="152"/>
    </row>
    <row r="18" spans="1:43" s="153" customFormat="1" ht="18" customHeight="1">
      <c r="A18" s="126"/>
      <c r="B18" s="198" t="s">
        <v>520</v>
      </c>
      <c r="C18" s="148">
        <v>2152</v>
      </c>
      <c r="D18" s="154">
        <v>32739.1</v>
      </c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2"/>
      <c r="Q18" s="150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2"/>
      <c r="AC18" s="150"/>
      <c r="AD18" s="151"/>
      <c r="AE18" s="151"/>
      <c r="AF18" s="151"/>
      <c r="AG18" s="151"/>
      <c r="AH18" s="151"/>
      <c r="AI18" s="152"/>
      <c r="AJ18" s="150"/>
      <c r="AK18" s="151"/>
      <c r="AL18" s="151"/>
      <c r="AM18" s="152"/>
      <c r="AN18" s="150"/>
      <c r="AO18" s="151"/>
      <c r="AP18" s="151"/>
      <c r="AQ18" s="152"/>
    </row>
    <row r="19" spans="1:43" s="153" customFormat="1" ht="18" customHeight="1">
      <c r="A19" s="134" t="s">
        <v>42</v>
      </c>
      <c r="B19" s="135" t="s">
        <v>255</v>
      </c>
      <c r="C19" s="155">
        <v>28883</v>
      </c>
      <c r="D19" s="156">
        <v>361863.6</v>
      </c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  <c r="Q19" s="150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2"/>
      <c r="AC19" s="150"/>
      <c r="AD19" s="151"/>
      <c r="AE19" s="151"/>
      <c r="AF19" s="151"/>
      <c r="AG19" s="151"/>
      <c r="AH19" s="151"/>
      <c r="AI19" s="152"/>
      <c r="AJ19" s="150"/>
      <c r="AK19" s="151"/>
      <c r="AL19" s="151"/>
      <c r="AM19" s="152"/>
      <c r="AN19" s="150"/>
      <c r="AO19" s="151"/>
      <c r="AP19" s="151"/>
      <c r="AQ19" s="152"/>
    </row>
    <row r="20" spans="1:43" s="153" customFormat="1" ht="18" customHeight="1">
      <c r="A20" s="126">
        <v>1</v>
      </c>
      <c r="B20" s="127" t="s">
        <v>246</v>
      </c>
      <c r="C20" s="136"/>
      <c r="D20" s="137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  <c r="Q20" s="150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2"/>
      <c r="AC20" s="150"/>
      <c r="AD20" s="151"/>
      <c r="AE20" s="151"/>
      <c r="AF20" s="151"/>
      <c r="AG20" s="151"/>
      <c r="AH20" s="151"/>
      <c r="AI20" s="152"/>
      <c r="AJ20" s="150"/>
      <c r="AK20" s="151"/>
      <c r="AL20" s="151"/>
      <c r="AM20" s="152"/>
      <c r="AN20" s="150"/>
      <c r="AO20" s="151"/>
      <c r="AP20" s="151"/>
      <c r="AQ20" s="152"/>
    </row>
    <row r="21" spans="1:43" s="153" customFormat="1" ht="18" customHeight="1">
      <c r="A21" s="126">
        <v>2</v>
      </c>
      <c r="B21" s="127" t="s">
        <v>247</v>
      </c>
      <c r="C21" s="138"/>
      <c r="D21" s="132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  <c r="Q21" s="150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2"/>
      <c r="AC21" s="150"/>
      <c r="AD21" s="151"/>
      <c r="AE21" s="151"/>
      <c r="AF21" s="151"/>
      <c r="AG21" s="151"/>
      <c r="AH21" s="151"/>
      <c r="AI21" s="152"/>
      <c r="AJ21" s="150"/>
      <c r="AK21" s="151"/>
      <c r="AL21" s="151"/>
      <c r="AM21" s="152"/>
      <c r="AN21" s="150"/>
      <c r="AO21" s="151"/>
      <c r="AP21" s="151"/>
      <c r="AQ21" s="152"/>
    </row>
    <row r="22" spans="1:43" s="153" customFormat="1" ht="18" customHeight="1">
      <c r="A22" s="126">
        <v>3</v>
      </c>
      <c r="B22" s="127" t="s">
        <v>248</v>
      </c>
      <c r="C22" s="138"/>
      <c r="D22" s="132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150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2"/>
      <c r="AC22" s="150"/>
      <c r="AD22" s="151"/>
      <c r="AE22" s="151"/>
      <c r="AF22" s="151"/>
      <c r="AG22" s="151"/>
      <c r="AH22" s="151"/>
      <c r="AI22" s="152"/>
      <c r="AJ22" s="150"/>
      <c r="AK22" s="151"/>
      <c r="AL22" s="151"/>
      <c r="AM22" s="152"/>
      <c r="AN22" s="150"/>
      <c r="AO22" s="151"/>
      <c r="AP22" s="151"/>
      <c r="AQ22" s="152"/>
    </row>
    <row r="23" spans="1:43" s="153" customFormat="1" ht="18" customHeight="1">
      <c r="A23" s="126">
        <v>4</v>
      </c>
      <c r="B23" s="127" t="s">
        <v>262</v>
      </c>
      <c r="C23" s="138"/>
      <c r="D23" s="132"/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150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  <c r="AC23" s="150"/>
      <c r="AD23" s="151"/>
      <c r="AE23" s="151"/>
      <c r="AF23" s="151"/>
      <c r="AG23" s="151"/>
      <c r="AH23" s="151"/>
      <c r="AI23" s="152"/>
      <c r="AJ23" s="150"/>
      <c r="AK23" s="151"/>
      <c r="AL23" s="151"/>
      <c r="AM23" s="152"/>
      <c r="AN23" s="150"/>
      <c r="AO23" s="151"/>
      <c r="AP23" s="151"/>
      <c r="AQ23" s="152"/>
    </row>
    <row r="24" spans="1:43" s="153" customFormat="1" ht="18" customHeight="1">
      <c r="A24" s="126">
        <v>5</v>
      </c>
      <c r="B24" s="127" t="s">
        <v>263</v>
      </c>
      <c r="C24" s="138"/>
      <c r="D24" s="132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2"/>
      <c r="Q24" s="150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50"/>
      <c r="AD24" s="151"/>
      <c r="AE24" s="151"/>
      <c r="AF24" s="151"/>
      <c r="AG24" s="151"/>
      <c r="AH24" s="151"/>
      <c r="AI24" s="152"/>
      <c r="AJ24" s="150"/>
      <c r="AK24" s="151"/>
      <c r="AL24" s="151"/>
      <c r="AM24" s="152"/>
      <c r="AN24" s="150"/>
      <c r="AO24" s="151"/>
      <c r="AP24" s="151"/>
      <c r="AQ24" s="152"/>
    </row>
    <row r="25" spans="1:43" s="153" customFormat="1" ht="18" customHeight="1">
      <c r="A25" s="126">
        <v>6</v>
      </c>
      <c r="B25" s="127" t="s">
        <v>250</v>
      </c>
      <c r="C25" s="139"/>
      <c r="D25" s="133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  <c r="Q25" s="150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2"/>
      <c r="AC25" s="150"/>
      <c r="AD25" s="151"/>
      <c r="AE25" s="151"/>
      <c r="AF25" s="151"/>
      <c r="AG25" s="151"/>
      <c r="AH25" s="151"/>
      <c r="AI25" s="152"/>
      <c r="AJ25" s="150"/>
      <c r="AK25" s="151"/>
      <c r="AL25" s="151"/>
      <c r="AM25" s="152"/>
      <c r="AN25" s="150"/>
      <c r="AO25" s="151"/>
      <c r="AP25" s="151"/>
      <c r="AQ25" s="152"/>
    </row>
    <row r="26" spans="1:43" s="153" customFormat="1" ht="18" customHeight="1">
      <c r="A26" s="134"/>
      <c r="B26" s="196" t="s">
        <v>521</v>
      </c>
      <c r="C26" s="148">
        <v>8041</v>
      </c>
      <c r="D26" s="164">
        <v>100361.8</v>
      </c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2"/>
      <c r="Q26" s="150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150"/>
      <c r="AD26" s="151"/>
      <c r="AE26" s="151"/>
      <c r="AF26" s="151"/>
      <c r="AG26" s="151"/>
      <c r="AH26" s="151"/>
      <c r="AI26" s="152"/>
      <c r="AJ26" s="150"/>
      <c r="AK26" s="151"/>
      <c r="AL26" s="151"/>
      <c r="AM26" s="152"/>
      <c r="AN26" s="150"/>
      <c r="AO26" s="151"/>
      <c r="AP26" s="151"/>
      <c r="AQ26" s="152"/>
    </row>
    <row r="27" spans="1:43" s="153" customFormat="1" ht="18" customHeight="1">
      <c r="A27" s="134"/>
      <c r="B27" s="196" t="s">
        <v>518</v>
      </c>
      <c r="C27" s="148">
        <v>7796</v>
      </c>
      <c r="D27" s="154">
        <v>87969.3</v>
      </c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2"/>
      <c r="Q27" s="150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150"/>
      <c r="AD27" s="151"/>
      <c r="AE27" s="151"/>
      <c r="AF27" s="151"/>
      <c r="AG27" s="151"/>
      <c r="AH27" s="151"/>
      <c r="AI27" s="152"/>
      <c r="AJ27" s="150"/>
      <c r="AK27" s="151"/>
      <c r="AL27" s="151"/>
      <c r="AM27" s="152"/>
      <c r="AN27" s="150"/>
      <c r="AO27" s="151"/>
      <c r="AP27" s="151"/>
      <c r="AQ27" s="152"/>
    </row>
    <row r="28" spans="1:54" s="153" customFormat="1" ht="18" customHeight="1">
      <c r="A28" s="134"/>
      <c r="B28" s="149" t="s">
        <v>256</v>
      </c>
      <c r="C28" s="148">
        <v>7613</v>
      </c>
      <c r="D28" s="154">
        <v>78807.2</v>
      </c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  <c r="Q28" s="150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2"/>
      <c r="AC28" s="150"/>
      <c r="AD28" s="151"/>
      <c r="AE28" s="151"/>
      <c r="AF28" s="151"/>
      <c r="AG28" s="151"/>
      <c r="AH28" s="151"/>
      <c r="AI28" s="152"/>
      <c r="AJ28" s="150"/>
      <c r="AK28" s="151"/>
      <c r="AL28" s="151"/>
      <c r="AM28" s="152"/>
      <c r="AN28" s="150"/>
      <c r="AO28" s="151"/>
      <c r="AP28" s="151"/>
      <c r="AQ28" s="152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</row>
    <row r="29" spans="1:54" s="163" customFormat="1" ht="18" customHeight="1">
      <c r="A29" s="140"/>
      <c r="B29" s="157" t="s">
        <v>257</v>
      </c>
      <c r="C29" s="158">
        <v>5433</v>
      </c>
      <c r="D29" s="159">
        <v>94725.3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160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160"/>
      <c r="AD29" s="161"/>
      <c r="AE29" s="161"/>
      <c r="AF29" s="161"/>
      <c r="AG29" s="161"/>
      <c r="AH29" s="161"/>
      <c r="AI29" s="162"/>
      <c r="AJ29" s="160"/>
      <c r="AK29" s="161"/>
      <c r="AL29" s="161"/>
      <c r="AM29" s="162"/>
      <c r="AN29" s="160"/>
      <c r="AO29" s="161"/>
      <c r="AP29" s="161"/>
      <c r="AQ29" s="162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</row>
    <row r="30" spans="1:54" s="125" customFormat="1" ht="19.5" customHeight="1">
      <c r="A30" s="141"/>
      <c r="B30" s="142" t="s">
        <v>258</v>
      </c>
      <c r="C30" s="143">
        <f>C19+C6</f>
        <v>43344</v>
      </c>
      <c r="D30" s="143">
        <f>D19+D6</f>
        <v>584763.5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</row>
    <row r="31" spans="1:43" s="125" customFormat="1" ht="12">
      <c r="A31" s="141"/>
      <c r="B31" s="142" t="s">
        <v>259</v>
      </c>
      <c r="C31" s="144"/>
      <c r="D31" s="14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s="153" customFormat="1" ht="12">
      <c r="A32" s="236"/>
      <c r="B32" s="237" t="s">
        <v>834</v>
      </c>
      <c r="C32" s="237"/>
      <c r="D32" s="237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</row>
    <row r="33" spans="1:43" s="153" customFormat="1" ht="12">
      <c r="A33" s="236"/>
      <c r="B33" s="709" t="s">
        <v>261</v>
      </c>
      <c r="C33" s="709"/>
      <c r="D33" s="709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</row>
    <row r="34" ht="19.5" customHeight="1"/>
    <row r="35" ht="19.5" customHeight="1"/>
  </sheetData>
  <sheetProtection/>
  <mergeCells count="12">
    <mergeCell ref="A1:AR1"/>
    <mergeCell ref="AC4:AI4"/>
    <mergeCell ref="AJ4:AM4"/>
    <mergeCell ref="AN4:AQ4"/>
    <mergeCell ref="Q4:AB4"/>
    <mergeCell ref="A2:AR2"/>
    <mergeCell ref="B33:D33"/>
    <mergeCell ref="A4:A5"/>
    <mergeCell ref="B4:B5"/>
    <mergeCell ref="E4:P4"/>
    <mergeCell ref="D4:D5"/>
    <mergeCell ref="C4:C5"/>
  </mergeCells>
  <dataValidations count="1">
    <dataValidation allowBlank="1" showInputMessage="1" showErrorMessage="1" error="Connections can only be counted once a scheme is completed" sqref="C13:C17"/>
  </dataValidations>
  <printOptions/>
  <pageMargins left="0.29" right="0" top="0.19" bottom="0.19" header="0.19" footer="0.18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A2" sqref="A2:V2"/>
    </sheetView>
  </sheetViews>
  <sheetFormatPr defaultColWidth="9.140625" defaultRowHeight="12.75"/>
  <cols>
    <col min="1" max="1" width="4.7109375" style="595" customWidth="1"/>
    <col min="2" max="2" width="15.57421875" style="623" bestFit="1" customWidth="1"/>
    <col min="3" max="3" width="14.28125" style="595" bestFit="1" customWidth="1"/>
    <col min="4" max="4" width="34.421875" style="595" bestFit="1" customWidth="1"/>
    <col min="5" max="5" width="9.8515625" style="624" bestFit="1" customWidth="1"/>
    <col min="6" max="12" width="9.140625" style="624" customWidth="1"/>
    <col min="13" max="13" width="8.57421875" style="624" customWidth="1"/>
    <col min="14" max="14" width="8.7109375" style="624" customWidth="1"/>
    <col min="15" max="15" width="12.421875" style="624" customWidth="1"/>
    <col min="16" max="16" width="11.28125" style="624" customWidth="1"/>
    <col min="17" max="17" width="11.140625" style="624" customWidth="1"/>
    <col min="18" max="18" width="10.57421875" style="624" customWidth="1"/>
    <col min="19" max="19" width="10.28125" style="624" customWidth="1"/>
    <col min="20" max="20" width="11.140625" style="624" customWidth="1"/>
    <col min="21" max="21" width="10.57421875" style="624" customWidth="1"/>
    <col min="22" max="22" width="10.28125" style="633" customWidth="1"/>
    <col min="23" max="16384" width="9.140625" style="595" customWidth="1"/>
  </cols>
  <sheetData>
    <row r="1" spans="1:22" s="639" customFormat="1" ht="19.5" customHeight="1">
      <c r="A1" s="729" t="s">
        <v>796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</row>
    <row r="2" spans="1:22" ht="16.5">
      <c r="A2" s="718" t="s">
        <v>850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</row>
    <row r="3" ht="3.75" customHeight="1"/>
    <row r="4" spans="1:22" s="622" customFormat="1" ht="11.25">
      <c r="A4" s="727" t="s">
        <v>264</v>
      </c>
      <c r="B4" s="727" t="s">
        <v>454</v>
      </c>
      <c r="C4" s="727" t="s">
        <v>455</v>
      </c>
      <c r="D4" s="726" t="s">
        <v>456</v>
      </c>
      <c r="E4" s="726" t="s">
        <v>457</v>
      </c>
      <c r="F4" s="726" t="s">
        <v>458</v>
      </c>
      <c r="G4" s="726" t="s">
        <v>459</v>
      </c>
      <c r="H4" s="727" t="s">
        <v>460</v>
      </c>
      <c r="I4" s="727" t="s">
        <v>461</v>
      </c>
      <c r="J4" s="727" t="s">
        <v>462</v>
      </c>
      <c r="K4" s="727" t="s">
        <v>463</v>
      </c>
      <c r="L4" s="726" t="s">
        <v>464</v>
      </c>
      <c r="M4" s="725" t="s">
        <v>465</v>
      </c>
      <c r="N4" s="725" t="s">
        <v>466</v>
      </c>
      <c r="O4" s="725" t="s">
        <v>467</v>
      </c>
      <c r="P4" s="725" t="s">
        <v>468</v>
      </c>
      <c r="Q4" s="725" t="s">
        <v>469</v>
      </c>
      <c r="R4" s="725"/>
      <c r="S4" s="725"/>
      <c r="T4" s="725"/>
      <c r="U4" s="728" t="s">
        <v>470</v>
      </c>
      <c r="V4" s="724" t="s">
        <v>471</v>
      </c>
    </row>
    <row r="5" spans="1:22" s="622" customFormat="1" ht="51" customHeight="1">
      <c r="A5" s="727"/>
      <c r="B5" s="727"/>
      <c r="C5" s="727"/>
      <c r="D5" s="726"/>
      <c r="E5" s="726"/>
      <c r="F5" s="726"/>
      <c r="G5" s="726"/>
      <c r="H5" s="727"/>
      <c r="I5" s="727"/>
      <c r="J5" s="727"/>
      <c r="K5" s="727"/>
      <c r="L5" s="726"/>
      <c r="M5" s="725"/>
      <c r="N5" s="725"/>
      <c r="O5" s="725"/>
      <c r="P5" s="725"/>
      <c r="Q5" s="594" t="s">
        <v>472</v>
      </c>
      <c r="R5" s="594" t="s">
        <v>473</v>
      </c>
      <c r="S5" s="594" t="s">
        <v>474</v>
      </c>
      <c r="T5" s="594" t="s">
        <v>475</v>
      </c>
      <c r="U5" s="728"/>
      <c r="V5" s="724"/>
    </row>
    <row r="6" spans="1:22" ht="11.25">
      <c r="A6" s="626">
        <v>1</v>
      </c>
      <c r="B6" s="588" t="s">
        <v>622</v>
      </c>
      <c r="C6" s="597" t="s">
        <v>669</v>
      </c>
      <c r="D6" s="315" t="s">
        <v>848</v>
      </c>
      <c r="E6" s="458" t="s">
        <v>849</v>
      </c>
      <c r="F6" s="458">
        <v>3000</v>
      </c>
      <c r="G6" s="458">
        <v>2400</v>
      </c>
      <c r="H6" s="314">
        <v>1380</v>
      </c>
      <c r="I6" s="458">
        <v>5000</v>
      </c>
      <c r="J6" s="458">
        <v>1275</v>
      </c>
      <c r="K6" s="458">
        <v>4500</v>
      </c>
      <c r="L6" s="598">
        <f>J6</f>
        <v>1275</v>
      </c>
      <c r="M6" s="599">
        <f>G6*30</f>
        <v>72000</v>
      </c>
      <c r="N6" s="599">
        <f>K6*3</f>
        <v>13500</v>
      </c>
      <c r="O6" s="599">
        <v>5700</v>
      </c>
      <c r="P6" s="599">
        <f>O6*N6</f>
        <v>76950000</v>
      </c>
      <c r="Q6" s="599">
        <f>M6*1200</f>
        <v>86400000</v>
      </c>
      <c r="R6" s="599">
        <f>M6*1000</f>
        <v>72000000</v>
      </c>
      <c r="S6" s="599">
        <f>M6*800</f>
        <v>57600000</v>
      </c>
      <c r="T6" s="599"/>
      <c r="U6" s="599">
        <f>T6+S6+R6+Q6</f>
        <v>216000000</v>
      </c>
      <c r="V6" s="458" t="s">
        <v>670</v>
      </c>
    </row>
    <row r="7" spans="1:22" ht="22.5">
      <c r="A7" s="626">
        <v>2</v>
      </c>
      <c r="B7" s="588"/>
      <c r="C7" s="596" t="s">
        <v>632</v>
      </c>
      <c r="D7" s="459" t="s">
        <v>671</v>
      </c>
      <c r="E7" s="462" t="s">
        <v>672</v>
      </c>
      <c r="F7" s="458"/>
      <c r="G7" s="458"/>
      <c r="H7" s="314"/>
      <c r="I7" s="458"/>
      <c r="J7" s="458"/>
      <c r="K7" s="458"/>
      <c r="L7" s="598"/>
      <c r="M7" s="599"/>
      <c r="N7" s="599"/>
      <c r="O7" s="600" t="s">
        <v>841</v>
      </c>
      <c r="P7" s="599"/>
      <c r="Q7" s="599"/>
      <c r="R7" s="599"/>
      <c r="S7" s="599"/>
      <c r="T7" s="599"/>
      <c r="U7" s="599"/>
      <c r="V7" s="458"/>
    </row>
    <row r="8" spans="1:22" ht="11.25">
      <c r="A8" s="626">
        <v>3</v>
      </c>
      <c r="B8" s="588"/>
      <c r="C8" s="597" t="s">
        <v>559</v>
      </c>
      <c r="D8" s="315" t="s">
        <v>673</v>
      </c>
      <c r="E8" s="314" t="s">
        <v>674</v>
      </c>
      <c r="F8" s="314">
        <v>200</v>
      </c>
      <c r="G8" s="314">
        <v>140</v>
      </c>
      <c r="H8" s="314">
        <v>1300</v>
      </c>
      <c r="I8" s="314">
        <v>4000</v>
      </c>
      <c r="J8" s="720">
        <v>750</v>
      </c>
      <c r="K8" s="314">
        <v>1500</v>
      </c>
      <c r="L8" s="721">
        <f>J8</f>
        <v>750</v>
      </c>
      <c r="M8" s="722">
        <f>G8+G9*30</f>
        <v>4640</v>
      </c>
      <c r="N8" s="722">
        <v>3600</v>
      </c>
      <c r="O8" s="599">
        <v>3000</v>
      </c>
      <c r="P8" s="722">
        <f>O8*N8</f>
        <v>10800000</v>
      </c>
      <c r="Q8" s="722">
        <f>M8*1000</f>
        <v>4640000</v>
      </c>
      <c r="R8" s="722">
        <f>M8*1000</f>
        <v>4640000</v>
      </c>
      <c r="S8" s="722">
        <f>M8*800</f>
        <v>3712000</v>
      </c>
      <c r="T8" s="722"/>
      <c r="U8" s="722">
        <f>T8+S8+R8+Q8</f>
        <v>12992000</v>
      </c>
      <c r="V8" s="314" t="s">
        <v>675</v>
      </c>
    </row>
    <row r="9" spans="1:22" ht="11.25">
      <c r="A9" s="626">
        <v>4</v>
      </c>
      <c r="B9" s="588"/>
      <c r="C9" s="316"/>
      <c r="D9" s="315" t="s">
        <v>676</v>
      </c>
      <c r="E9" s="314" t="s">
        <v>674</v>
      </c>
      <c r="F9" s="314">
        <v>200</v>
      </c>
      <c r="G9" s="314">
        <v>150</v>
      </c>
      <c r="H9" s="314"/>
      <c r="I9" s="314">
        <v>3000</v>
      </c>
      <c r="J9" s="720"/>
      <c r="K9" s="314">
        <v>1327</v>
      </c>
      <c r="L9" s="721"/>
      <c r="M9" s="722"/>
      <c r="N9" s="722"/>
      <c r="O9" s="599"/>
      <c r="P9" s="722"/>
      <c r="Q9" s="722"/>
      <c r="R9" s="722"/>
      <c r="S9" s="722"/>
      <c r="T9" s="722"/>
      <c r="U9" s="722"/>
      <c r="V9" s="314" t="s">
        <v>675</v>
      </c>
    </row>
    <row r="10" spans="1:22" ht="11.25">
      <c r="A10" s="626">
        <v>5</v>
      </c>
      <c r="B10" s="588"/>
      <c r="C10" s="316"/>
      <c r="D10" s="315" t="s">
        <v>677</v>
      </c>
      <c r="E10" s="314" t="s">
        <v>674</v>
      </c>
      <c r="F10" s="314">
        <v>100</v>
      </c>
      <c r="G10" s="314">
        <v>0</v>
      </c>
      <c r="H10" s="314"/>
      <c r="I10" s="314">
        <v>1500</v>
      </c>
      <c r="J10" s="720"/>
      <c r="K10" s="314">
        <v>0</v>
      </c>
      <c r="L10" s="721"/>
      <c r="M10" s="722"/>
      <c r="N10" s="722"/>
      <c r="O10" s="599"/>
      <c r="P10" s="722"/>
      <c r="Q10" s="722"/>
      <c r="R10" s="722"/>
      <c r="S10" s="722"/>
      <c r="T10" s="722"/>
      <c r="U10" s="722"/>
      <c r="V10" s="314" t="s">
        <v>675</v>
      </c>
    </row>
    <row r="11" spans="1:22" ht="11.25">
      <c r="A11" s="626">
        <v>6</v>
      </c>
      <c r="B11" s="588"/>
      <c r="C11" s="601" t="s">
        <v>594</v>
      </c>
      <c r="D11" s="312" t="s">
        <v>678</v>
      </c>
      <c r="E11" s="314" t="s">
        <v>674</v>
      </c>
      <c r="F11" s="314">
        <v>1000</v>
      </c>
      <c r="G11" s="314">
        <v>700</v>
      </c>
      <c r="H11" s="314">
        <v>2000</v>
      </c>
      <c r="I11" s="314">
        <v>8000</v>
      </c>
      <c r="J11" s="458">
        <v>1454</v>
      </c>
      <c r="K11" s="314">
        <v>5096</v>
      </c>
      <c r="L11" s="598">
        <f>J11</f>
        <v>1454</v>
      </c>
      <c r="M11" s="599">
        <f>G11*30</f>
        <v>21000</v>
      </c>
      <c r="N11" s="599">
        <f>K11*3</f>
        <v>15288</v>
      </c>
      <c r="O11" s="599">
        <v>5000</v>
      </c>
      <c r="P11" s="599">
        <f>O11*N11</f>
        <v>76440000</v>
      </c>
      <c r="Q11" s="599">
        <f>M11*1200</f>
        <v>25200000</v>
      </c>
      <c r="R11" s="599">
        <f>M11*1000</f>
        <v>21000000</v>
      </c>
      <c r="S11" s="599">
        <f>M11*800</f>
        <v>16800000</v>
      </c>
      <c r="T11" s="599"/>
      <c r="U11" s="599">
        <f>S11+R11+Q11+T11</f>
        <v>63000000</v>
      </c>
      <c r="V11" s="314" t="s">
        <v>679</v>
      </c>
    </row>
    <row r="12" spans="1:22" ht="11.25">
      <c r="A12" s="626">
        <v>7</v>
      </c>
      <c r="B12" s="588"/>
      <c r="C12" s="601" t="s">
        <v>680</v>
      </c>
      <c r="D12" s="312" t="s">
        <v>681</v>
      </c>
      <c r="E12" s="314" t="s">
        <v>674</v>
      </c>
      <c r="F12" s="314">
        <v>2000</v>
      </c>
      <c r="G12" s="314">
        <v>1500</v>
      </c>
      <c r="H12" s="314">
        <v>3000</v>
      </c>
      <c r="I12" s="314">
        <v>6700</v>
      </c>
      <c r="J12" s="458">
        <v>1254</v>
      </c>
      <c r="K12" s="314">
        <v>4908</v>
      </c>
      <c r="L12" s="598">
        <v>1254</v>
      </c>
      <c r="M12" s="599">
        <f>G12*30</f>
        <v>45000</v>
      </c>
      <c r="N12" s="599">
        <f>K12*3</f>
        <v>14724</v>
      </c>
      <c r="O12" s="599">
        <v>5700</v>
      </c>
      <c r="P12" s="599">
        <f>O12*N12</f>
        <v>83926800</v>
      </c>
      <c r="Q12" s="599">
        <f>M12*1200</f>
        <v>54000000</v>
      </c>
      <c r="R12" s="599">
        <f aca="true" t="shared" si="0" ref="R12:R61">M12*1000</f>
        <v>45000000</v>
      </c>
      <c r="S12" s="599">
        <f aca="true" t="shared" si="1" ref="S12:S61">M12*800</f>
        <v>36000000</v>
      </c>
      <c r="T12" s="599"/>
      <c r="U12" s="599">
        <f>S12+R12+Q12+T12</f>
        <v>135000000</v>
      </c>
      <c r="V12" s="458" t="s">
        <v>670</v>
      </c>
    </row>
    <row r="13" spans="1:22" ht="11.25">
      <c r="A13" s="626">
        <v>8</v>
      </c>
      <c r="B13" s="588"/>
      <c r="C13" s="601" t="s">
        <v>554</v>
      </c>
      <c r="D13" s="312" t="s">
        <v>847</v>
      </c>
      <c r="E13" s="314" t="s">
        <v>674</v>
      </c>
      <c r="F13" s="314">
        <v>3000</v>
      </c>
      <c r="G13" s="314">
        <v>2000</v>
      </c>
      <c r="H13" s="314">
        <v>7000</v>
      </c>
      <c r="I13" s="313"/>
      <c r="J13" s="458">
        <v>5059</v>
      </c>
      <c r="K13" s="314">
        <v>19043</v>
      </c>
      <c r="L13" s="598">
        <v>5059</v>
      </c>
      <c r="M13" s="599">
        <f>G13*30</f>
        <v>60000</v>
      </c>
      <c r="N13" s="599">
        <f>K13*3</f>
        <v>57129</v>
      </c>
      <c r="O13" s="599">
        <v>4700</v>
      </c>
      <c r="P13" s="599">
        <f>O13*N13</f>
        <v>268506300</v>
      </c>
      <c r="Q13" s="599">
        <f>M13*1200</f>
        <v>72000000</v>
      </c>
      <c r="R13" s="599">
        <f t="shared" si="0"/>
        <v>60000000</v>
      </c>
      <c r="S13" s="599">
        <f t="shared" si="1"/>
        <v>48000000</v>
      </c>
      <c r="T13" s="599"/>
      <c r="U13" s="599">
        <f>S13+R13+Q13+T13</f>
        <v>180000000</v>
      </c>
      <c r="V13" s="458" t="s">
        <v>670</v>
      </c>
    </row>
    <row r="14" spans="1:22" ht="22.5">
      <c r="A14" s="626">
        <v>9</v>
      </c>
      <c r="B14" s="588"/>
      <c r="C14" s="601"/>
      <c r="D14" s="312" t="s">
        <v>682</v>
      </c>
      <c r="E14" s="314" t="s">
        <v>674</v>
      </c>
      <c r="F14" s="314"/>
      <c r="G14" s="314"/>
      <c r="H14" s="314"/>
      <c r="I14" s="313"/>
      <c r="J14" s="458"/>
      <c r="K14" s="314"/>
      <c r="L14" s="598"/>
      <c r="M14" s="599"/>
      <c r="N14" s="602"/>
      <c r="O14" s="600" t="s">
        <v>841</v>
      </c>
      <c r="P14" s="599"/>
      <c r="Q14" s="599"/>
      <c r="R14" s="599">
        <f t="shared" si="0"/>
        <v>0</v>
      </c>
      <c r="S14" s="599">
        <f t="shared" si="1"/>
        <v>0</v>
      </c>
      <c r="T14" s="599"/>
      <c r="U14" s="599">
        <f aca="true" t="shared" si="2" ref="U14:U61">S14+R14+Q14</f>
        <v>0</v>
      </c>
      <c r="V14" s="314" t="s">
        <v>675</v>
      </c>
    </row>
    <row r="15" spans="1:22" ht="11.25">
      <c r="A15" s="626">
        <v>10</v>
      </c>
      <c r="B15" s="588"/>
      <c r="C15" s="627" t="s">
        <v>597</v>
      </c>
      <c r="D15" s="312" t="s">
        <v>846</v>
      </c>
      <c r="E15" s="314" t="s">
        <v>674</v>
      </c>
      <c r="F15" s="314">
        <v>3500</v>
      </c>
      <c r="G15" s="314">
        <v>4000</v>
      </c>
      <c r="H15" s="314">
        <v>1200</v>
      </c>
      <c r="I15" s="313"/>
      <c r="J15" s="458">
        <v>9248</v>
      </c>
      <c r="K15" s="314">
        <v>31394</v>
      </c>
      <c r="L15" s="598">
        <v>9248</v>
      </c>
      <c r="M15" s="599">
        <f>G15*30</f>
        <v>120000</v>
      </c>
      <c r="N15" s="599">
        <f>K15*3</f>
        <v>94182</v>
      </c>
      <c r="O15" s="599">
        <v>4700</v>
      </c>
      <c r="P15" s="599">
        <f>N15*O15</f>
        <v>442655400</v>
      </c>
      <c r="Q15" s="603">
        <f>M15*1200</f>
        <v>144000000</v>
      </c>
      <c r="R15" s="599">
        <f t="shared" si="0"/>
        <v>120000000</v>
      </c>
      <c r="S15" s="599">
        <f t="shared" si="1"/>
        <v>96000000</v>
      </c>
      <c r="T15" s="603">
        <v>100560000</v>
      </c>
      <c r="U15" s="599">
        <f>S15+R15+Q15+T15</f>
        <v>460560000</v>
      </c>
      <c r="V15" s="458" t="s">
        <v>670</v>
      </c>
    </row>
    <row r="16" spans="1:22" ht="11.25">
      <c r="A16" s="626">
        <v>11</v>
      </c>
      <c r="B16" s="588"/>
      <c r="C16" s="604" t="s">
        <v>591</v>
      </c>
      <c r="D16" s="312" t="s">
        <v>683</v>
      </c>
      <c r="E16" s="314" t="s">
        <v>674</v>
      </c>
      <c r="F16" s="314">
        <v>2000</v>
      </c>
      <c r="G16" s="314">
        <v>1500</v>
      </c>
      <c r="H16" s="314">
        <v>3000</v>
      </c>
      <c r="I16" s="314"/>
      <c r="J16" s="458">
        <v>1728</v>
      </c>
      <c r="K16" s="314">
        <v>5101</v>
      </c>
      <c r="L16" s="598">
        <v>1728</v>
      </c>
      <c r="M16" s="599">
        <f>G16*30</f>
        <v>45000</v>
      </c>
      <c r="N16" s="599">
        <f>K16*3</f>
        <v>15303</v>
      </c>
      <c r="O16" s="599">
        <v>4700</v>
      </c>
      <c r="P16" s="603">
        <f>O16*N16</f>
        <v>71924100</v>
      </c>
      <c r="Q16" s="603">
        <f>M16*1200</f>
        <v>54000000</v>
      </c>
      <c r="R16" s="599">
        <f t="shared" si="0"/>
        <v>45000000</v>
      </c>
      <c r="S16" s="599">
        <f t="shared" si="1"/>
        <v>36000000</v>
      </c>
      <c r="T16" s="603"/>
      <c r="U16" s="599">
        <f t="shared" si="2"/>
        <v>135000000</v>
      </c>
      <c r="V16" s="458" t="s">
        <v>670</v>
      </c>
    </row>
    <row r="17" spans="1:22" ht="11.25">
      <c r="A17" s="626">
        <v>12</v>
      </c>
      <c r="B17" s="587" t="s">
        <v>684</v>
      </c>
      <c r="C17" s="601" t="s">
        <v>577</v>
      </c>
      <c r="D17" s="312" t="s">
        <v>685</v>
      </c>
      <c r="E17" s="314" t="s">
        <v>672</v>
      </c>
      <c r="F17" s="314">
        <v>320</v>
      </c>
      <c r="G17" s="314"/>
      <c r="H17" s="314">
        <v>300</v>
      </c>
      <c r="I17" s="314">
        <v>270</v>
      </c>
      <c r="J17" s="458">
        <v>145</v>
      </c>
      <c r="K17" s="314">
        <v>270</v>
      </c>
      <c r="L17" s="598">
        <v>145</v>
      </c>
      <c r="M17" s="599"/>
      <c r="N17" s="606"/>
      <c r="O17" s="606">
        <v>2000</v>
      </c>
      <c r="P17" s="606"/>
      <c r="Q17" s="606"/>
      <c r="R17" s="599">
        <f t="shared" si="0"/>
        <v>0</v>
      </c>
      <c r="S17" s="599">
        <f t="shared" si="1"/>
        <v>0</v>
      </c>
      <c r="T17" s="606"/>
      <c r="U17" s="599">
        <f t="shared" si="2"/>
        <v>0</v>
      </c>
      <c r="V17" s="314" t="s">
        <v>675</v>
      </c>
    </row>
    <row r="18" spans="1:22" ht="22.5">
      <c r="A18" s="626">
        <v>13</v>
      </c>
      <c r="B18" s="587"/>
      <c r="C18" s="601" t="s">
        <v>686</v>
      </c>
      <c r="D18" s="312" t="s">
        <v>687</v>
      </c>
      <c r="E18" s="314" t="s">
        <v>672</v>
      </c>
      <c r="F18" s="314"/>
      <c r="G18" s="314"/>
      <c r="H18" s="314"/>
      <c r="I18" s="314"/>
      <c r="J18" s="458"/>
      <c r="K18" s="314"/>
      <c r="L18" s="598"/>
      <c r="M18" s="598"/>
      <c r="N18" s="598"/>
      <c r="O18" s="600" t="s">
        <v>841</v>
      </c>
      <c r="P18" s="598"/>
      <c r="Q18" s="598"/>
      <c r="R18" s="599">
        <f t="shared" si="0"/>
        <v>0</v>
      </c>
      <c r="S18" s="599">
        <f t="shared" si="1"/>
        <v>0</v>
      </c>
      <c r="T18" s="598"/>
      <c r="U18" s="599">
        <f t="shared" si="2"/>
        <v>0</v>
      </c>
      <c r="V18" s="314" t="s">
        <v>675</v>
      </c>
    </row>
    <row r="19" spans="1:22" ht="22.5">
      <c r="A19" s="626">
        <v>14</v>
      </c>
      <c r="B19" s="587"/>
      <c r="C19" s="605"/>
      <c r="D19" s="312" t="s">
        <v>688</v>
      </c>
      <c r="E19" s="314" t="s">
        <v>672</v>
      </c>
      <c r="F19" s="314"/>
      <c r="G19" s="314"/>
      <c r="H19" s="314"/>
      <c r="I19" s="314"/>
      <c r="J19" s="458"/>
      <c r="K19" s="314"/>
      <c r="L19" s="598"/>
      <c r="M19" s="598"/>
      <c r="N19" s="598"/>
      <c r="O19" s="600" t="s">
        <v>841</v>
      </c>
      <c r="P19" s="598"/>
      <c r="Q19" s="598"/>
      <c r="R19" s="599">
        <f t="shared" si="0"/>
        <v>0</v>
      </c>
      <c r="S19" s="599">
        <f t="shared" si="1"/>
        <v>0</v>
      </c>
      <c r="T19" s="598"/>
      <c r="U19" s="599">
        <f t="shared" si="2"/>
        <v>0</v>
      </c>
      <c r="V19" s="314" t="s">
        <v>675</v>
      </c>
    </row>
    <row r="20" spans="1:22" ht="22.5">
      <c r="A20" s="626">
        <v>15</v>
      </c>
      <c r="B20" s="587"/>
      <c r="C20" s="601" t="s">
        <v>575</v>
      </c>
      <c r="D20" s="312" t="s">
        <v>689</v>
      </c>
      <c r="E20" s="314" t="s">
        <v>672</v>
      </c>
      <c r="F20" s="314"/>
      <c r="G20" s="314"/>
      <c r="H20" s="314"/>
      <c r="I20" s="314"/>
      <c r="J20" s="458"/>
      <c r="K20" s="314"/>
      <c r="L20" s="598"/>
      <c r="M20" s="598"/>
      <c r="N20" s="598"/>
      <c r="O20" s="600" t="s">
        <v>841</v>
      </c>
      <c r="P20" s="598"/>
      <c r="Q20" s="598"/>
      <c r="R20" s="599">
        <f t="shared" si="0"/>
        <v>0</v>
      </c>
      <c r="S20" s="599">
        <f t="shared" si="1"/>
        <v>0</v>
      </c>
      <c r="T20" s="598"/>
      <c r="U20" s="599">
        <f t="shared" si="2"/>
        <v>0</v>
      </c>
      <c r="V20" s="314" t="s">
        <v>675</v>
      </c>
    </row>
    <row r="21" spans="1:22" ht="22.5">
      <c r="A21" s="626">
        <v>16</v>
      </c>
      <c r="B21" s="587"/>
      <c r="C21" s="605"/>
      <c r="D21" s="312" t="s">
        <v>690</v>
      </c>
      <c r="E21" s="314" t="s">
        <v>672</v>
      </c>
      <c r="F21" s="314"/>
      <c r="G21" s="314"/>
      <c r="H21" s="314"/>
      <c r="I21" s="314"/>
      <c r="J21" s="458"/>
      <c r="K21" s="314"/>
      <c r="L21" s="598"/>
      <c r="M21" s="598"/>
      <c r="N21" s="598"/>
      <c r="O21" s="600" t="s">
        <v>841</v>
      </c>
      <c r="P21" s="598"/>
      <c r="Q21" s="598"/>
      <c r="R21" s="599">
        <f t="shared" si="0"/>
        <v>0</v>
      </c>
      <c r="S21" s="599">
        <f t="shared" si="1"/>
        <v>0</v>
      </c>
      <c r="T21" s="598"/>
      <c r="U21" s="599">
        <f t="shared" si="2"/>
        <v>0</v>
      </c>
      <c r="V21" s="314" t="s">
        <v>675</v>
      </c>
    </row>
    <row r="22" spans="1:22" ht="22.5">
      <c r="A22" s="626">
        <v>17</v>
      </c>
      <c r="B22" s="587"/>
      <c r="C22" s="601" t="s">
        <v>584</v>
      </c>
      <c r="D22" s="312" t="s">
        <v>845</v>
      </c>
      <c r="E22" s="314" t="s">
        <v>674</v>
      </c>
      <c r="F22" s="314"/>
      <c r="G22" s="314"/>
      <c r="H22" s="314"/>
      <c r="I22" s="314"/>
      <c r="J22" s="458"/>
      <c r="K22" s="314"/>
      <c r="L22" s="598"/>
      <c r="M22" s="598"/>
      <c r="N22" s="598"/>
      <c r="O22" s="600" t="s">
        <v>841</v>
      </c>
      <c r="P22" s="598"/>
      <c r="Q22" s="598"/>
      <c r="R22" s="599">
        <f t="shared" si="0"/>
        <v>0</v>
      </c>
      <c r="S22" s="599">
        <f t="shared" si="1"/>
        <v>0</v>
      </c>
      <c r="T22" s="598"/>
      <c r="U22" s="599">
        <f t="shared" si="2"/>
        <v>0</v>
      </c>
      <c r="V22" s="314" t="s">
        <v>675</v>
      </c>
    </row>
    <row r="23" spans="1:22" ht="22.5">
      <c r="A23" s="626">
        <v>18</v>
      </c>
      <c r="B23" s="587"/>
      <c r="C23" s="601" t="s">
        <v>692</v>
      </c>
      <c r="D23" s="312" t="s">
        <v>691</v>
      </c>
      <c r="E23" s="314" t="s">
        <v>674</v>
      </c>
      <c r="F23" s="314"/>
      <c r="G23" s="314"/>
      <c r="H23" s="314"/>
      <c r="I23" s="314"/>
      <c r="J23" s="458"/>
      <c r="K23" s="314"/>
      <c r="L23" s="598"/>
      <c r="M23" s="599"/>
      <c r="N23" s="599"/>
      <c r="O23" s="600" t="s">
        <v>841</v>
      </c>
      <c r="P23" s="599"/>
      <c r="Q23" s="599"/>
      <c r="R23" s="599">
        <f t="shared" si="0"/>
        <v>0</v>
      </c>
      <c r="S23" s="599">
        <f t="shared" si="1"/>
        <v>0</v>
      </c>
      <c r="T23" s="598"/>
      <c r="U23" s="599">
        <f t="shared" si="2"/>
        <v>0</v>
      </c>
      <c r="V23" s="314" t="s">
        <v>675</v>
      </c>
    </row>
    <row r="24" spans="1:22" ht="11.25">
      <c r="A24" s="626">
        <v>19</v>
      </c>
      <c r="B24" s="587"/>
      <c r="C24" s="601" t="s">
        <v>693</v>
      </c>
      <c r="D24" s="315" t="s">
        <v>694</v>
      </c>
      <c r="E24" s="314" t="s">
        <v>674</v>
      </c>
      <c r="F24" s="314">
        <v>400</v>
      </c>
      <c r="G24" s="314">
        <v>500</v>
      </c>
      <c r="H24" s="314">
        <v>600</v>
      </c>
      <c r="I24" s="314">
        <v>2500</v>
      </c>
      <c r="J24" s="458">
        <v>816</v>
      </c>
      <c r="K24" s="314">
        <v>1050</v>
      </c>
      <c r="L24" s="598">
        <v>816</v>
      </c>
      <c r="M24" s="599">
        <f>G24*30</f>
        <v>15000</v>
      </c>
      <c r="N24" s="599">
        <f>K24*3</f>
        <v>3150</v>
      </c>
      <c r="O24" s="599">
        <v>2000</v>
      </c>
      <c r="P24" s="599">
        <f>O24*N24</f>
        <v>6300000</v>
      </c>
      <c r="Q24" s="599">
        <f>M24*500</f>
        <v>7500000</v>
      </c>
      <c r="R24" s="599">
        <f>M24*100</f>
        <v>1500000</v>
      </c>
      <c r="S24" s="599"/>
      <c r="T24" s="598"/>
      <c r="U24" s="599">
        <f t="shared" si="2"/>
        <v>9000000</v>
      </c>
      <c r="V24" s="314" t="s">
        <v>476</v>
      </c>
    </row>
    <row r="25" spans="1:22" ht="11.25">
      <c r="A25" s="626">
        <v>20</v>
      </c>
      <c r="B25" s="587"/>
      <c r="C25" s="601" t="s">
        <v>222</v>
      </c>
      <c r="D25" s="315" t="s">
        <v>695</v>
      </c>
      <c r="E25" s="314" t="s">
        <v>672</v>
      </c>
      <c r="F25" s="719">
        <v>1000</v>
      </c>
      <c r="G25" s="719">
        <v>1000</v>
      </c>
      <c r="H25" s="719">
        <v>2000</v>
      </c>
      <c r="I25" s="719">
        <v>1500</v>
      </c>
      <c r="J25" s="720">
        <v>1980</v>
      </c>
      <c r="K25" s="719">
        <v>7275</v>
      </c>
      <c r="L25" s="721">
        <v>1980</v>
      </c>
      <c r="M25" s="599">
        <f>G25*30</f>
        <v>30000</v>
      </c>
      <c r="N25" s="599">
        <f>K25*3</f>
        <v>21825</v>
      </c>
      <c r="O25" s="599">
        <v>3000</v>
      </c>
      <c r="P25" s="599">
        <f>O25*N25</f>
        <v>65475000</v>
      </c>
      <c r="Q25" s="599">
        <f>M25*1200</f>
        <v>36000000</v>
      </c>
      <c r="R25" s="599">
        <f>M25*100</f>
        <v>3000000</v>
      </c>
      <c r="S25" s="599">
        <f t="shared" si="1"/>
        <v>24000000</v>
      </c>
      <c r="T25" s="598"/>
      <c r="U25" s="599">
        <f t="shared" si="2"/>
        <v>63000000</v>
      </c>
      <c r="V25" s="314" t="s">
        <v>477</v>
      </c>
    </row>
    <row r="26" spans="1:22" ht="11.25">
      <c r="A26" s="626">
        <v>21</v>
      </c>
      <c r="B26" s="587"/>
      <c r="C26" s="601"/>
      <c r="D26" s="315" t="s">
        <v>696</v>
      </c>
      <c r="E26" s="314" t="s">
        <v>672</v>
      </c>
      <c r="F26" s="719"/>
      <c r="G26" s="719"/>
      <c r="H26" s="719"/>
      <c r="I26" s="719"/>
      <c r="J26" s="720"/>
      <c r="K26" s="719"/>
      <c r="L26" s="721"/>
      <c r="M26" s="599"/>
      <c r="N26" s="599"/>
      <c r="O26" s="599"/>
      <c r="P26" s="599"/>
      <c r="Q26" s="599"/>
      <c r="R26" s="599">
        <f t="shared" si="0"/>
        <v>0</v>
      </c>
      <c r="S26" s="599">
        <f t="shared" si="1"/>
        <v>0</v>
      </c>
      <c r="T26" s="598"/>
      <c r="U26" s="599">
        <f t="shared" si="2"/>
        <v>0</v>
      </c>
      <c r="V26" s="314" t="s">
        <v>477</v>
      </c>
    </row>
    <row r="27" spans="1:22" ht="11.25">
      <c r="A27" s="626">
        <v>22</v>
      </c>
      <c r="B27" s="587"/>
      <c r="C27" s="605"/>
      <c r="D27" s="315" t="s">
        <v>697</v>
      </c>
      <c r="E27" s="314" t="s">
        <v>672</v>
      </c>
      <c r="F27" s="719"/>
      <c r="G27" s="719"/>
      <c r="H27" s="719"/>
      <c r="I27" s="719"/>
      <c r="J27" s="720"/>
      <c r="K27" s="719"/>
      <c r="L27" s="721"/>
      <c r="M27" s="599"/>
      <c r="N27" s="599"/>
      <c r="O27" s="599"/>
      <c r="P27" s="599"/>
      <c r="Q27" s="599"/>
      <c r="R27" s="599">
        <f t="shared" si="0"/>
        <v>0</v>
      </c>
      <c r="S27" s="599">
        <f t="shared" si="1"/>
        <v>0</v>
      </c>
      <c r="T27" s="598"/>
      <c r="U27" s="599">
        <f t="shared" si="2"/>
        <v>0</v>
      </c>
      <c r="V27" s="314" t="s">
        <v>477</v>
      </c>
    </row>
    <row r="28" spans="1:22" ht="22.5">
      <c r="A28" s="626">
        <v>23</v>
      </c>
      <c r="B28" s="587"/>
      <c r="C28" s="601" t="s">
        <v>581</v>
      </c>
      <c r="D28" s="315" t="s">
        <v>698</v>
      </c>
      <c r="E28" s="314" t="s">
        <v>672</v>
      </c>
      <c r="F28" s="610">
        <v>110</v>
      </c>
      <c r="G28" s="610">
        <v>110</v>
      </c>
      <c r="H28" s="314">
        <v>2000</v>
      </c>
      <c r="I28" s="610">
        <v>1350</v>
      </c>
      <c r="J28" s="458"/>
      <c r="K28" s="610"/>
      <c r="L28" s="598"/>
      <c r="M28" s="599"/>
      <c r="N28" s="599"/>
      <c r="O28" s="600" t="s">
        <v>841</v>
      </c>
      <c r="P28" s="599"/>
      <c r="Q28" s="599"/>
      <c r="R28" s="599">
        <f t="shared" si="0"/>
        <v>0</v>
      </c>
      <c r="S28" s="599">
        <f t="shared" si="1"/>
        <v>0</v>
      </c>
      <c r="T28" s="598"/>
      <c r="U28" s="599">
        <f t="shared" si="2"/>
        <v>0</v>
      </c>
      <c r="V28" s="314" t="s">
        <v>477</v>
      </c>
    </row>
    <row r="29" spans="1:22" ht="11.25">
      <c r="A29" s="626">
        <v>24</v>
      </c>
      <c r="B29" s="587"/>
      <c r="C29" s="605"/>
      <c r="D29" s="315" t="s">
        <v>699</v>
      </c>
      <c r="E29" s="314" t="s">
        <v>672</v>
      </c>
      <c r="F29" s="610">
        <v>110</v>
      </c>
      <c r="G29" s="610">
        <v>110</v>
      </c>
      <c r="H29" s="314"/>
      <c r="I29" s="610">
        <v>910</v>
      </c>
      <c r="J29" s="720">
        <v>367</v>
      </c>
      <c r="K29" s="610">
        <v>485</v>
      </c>
      <c r="L29" s="721">
        <v>367</v>
      </c>
      <c r="M29" s="599">
        <f>G29+G30*30</f>
        <v>3410</v>
      </c>
      <c r="N29" s="599">
        <f>K29+K30*3</f>
        <v>1748</v>
      </c>
      <c r="O29" s="599">
        <v>2000</v>
      </c>
      <c r="P29" s="599">
        <f>O29*N29</f>
        <v>3496000</v>
      </c>
      <c r="Q29" s="599">
        <f>M29*500</f>
        <v>1705000</v>
      </c>
      <c r="R29" s="599">
        <f t="shared" si="0"/>
        <v>3410000</v>
      </c>
      <c r="S29" s="599"/>
      <c r="T29" s="598"/>
      <c r="U29" s="599">
        <f t="shared" si="2"/>
        <v>5115000</v>
      </c>
      <c r="V29" s="314" t="s">
        <v>477</v>
      </c>
    </row>
    <row r="30" spans="1:22" ht="11.25">
      <c r="A30" s="626">
        <v>25</v>
      </c>
      <c r="B30" s="587"/>
      <c r="C30" s="605"/>
      <c r="D30" s="315" t="s">
        <v>700</v>
      </c>
      <c r="E30" s="314" t="s">
        <v>672</v>
      </c>
      <c r="F30" s="610">
        <v>110</v>
      </c>
      <c r="G30" s="610">
        <v>110</v>
      </c>
      <c r="H30" s="314"/>
      <c r="I30" s="610">
        <v>1060</v>
      </c>
      <c r="J30" s="720"/>
      <c r="K30" s="610">
        <v>421</v>
      </c>
      <c r="L30" s="721"/>
      <c r="M30" s="599"/>
      <c r="N30" s="599"/>
      <c r="O30" s="599"/>
      <c r="P30" s="599"/>
      <c r="Q30" s="599"/>
      <c r="R30" s="599">
        <f t="shared" si="0"/>
        <v>0</v>
      </c>
      <c r="S30" s="599">
        <f t="shared" si="1"/>
        <v>0</v>
      </c>
      <c r="T30" s="598"/>
      <c r="U30" s="599">
        <f t="shared" si="2"/>
        <v>0</v>
      </c>
      <c r="V30" s="314" t="s">
        <v>477</v>
      </c>
    </row>
    <row r="31" spans="1:22" ht="22.5">
      <c r="A31" s="626">
        <v>26</v>
      </c>
      <c r="B31" s="587"/>
      <c r="C31" s="605"/>
      <c r="D31" s="315" t="s">
        <v>701</v>
      </c>
      <c r="E31" s="314" t="s">
        <v>672</v>
      </c>
      <c r="F31" s="610">
        <v>110</v>
      </c>
      <c r="G31" s="610">
        <v>110</v>
      </c>
      <c r="H31" s="314"/>
      <c r="I31" s="610">
        <v>1750</v>
      </c>
      <c r="J31" s="458"/>
      <c r="K31" s="610"/>
      <c r="L31" s="598"/>
      <c r="M31" s="599"/>
      <c r="N31" s="599"/>
      <c r="O31" s="600" t="s">
        <v>841</v>
      </c>
      <c r="P31" s="599"/>
      <c r="Q31" s="599"/>
      <c r="R31" s="599">
        <f t="shared" si="0"/>
        <v>0</v>
      </c>
      <c r="S31" s="599">
        <f t="shared" si="1"/>
        <v>0</v>
      </c>
      <c r="T31" s="598"/>
      <c r="U31" s="599">
        <f t="shared" si="2"/>
        <v>0</v>
      </c>
      <c r="V31" s="314" t="s">
        <v>477</v>
      </c>
    </row>
    <row r="32" spans="1:22" ht="22.5">
      <c r="A32" s="626">
        <v>27</v>
      </c>
      <c r="B32" s="587"/>
      <c r="C32" s="601" t="s">
        <v>702</v>
      </c>
      <c r="D32" s="315" t="s">
        <v>695</v>
      </c>
      <c r="E32" s="314" t="s">
        <v>672</v>
      </c>
      <c r="F32" s="610">
        <v>1500</v>
      </c>
      <c r="G32" s="610"/>
      <c r="H32" s="314">
        <v>2000</v>
      </c>
      <c r="I32" s="610"/>
      <c r="J32" s="458"/>
      <c r="K32" s="610"/>
      <c r="L32" s="598"/>
      <c r="M32" s="599"/>
      <c r="N32" s="599"/>
      <c r="O32" s="600" t="s">
        <v>841</v>
      </c>
      <c r="P32" s="599"/>
      <c r="Q32" s="599"/>
      <c r="R32" s="599">
        <f t="shared" si="0"/>
        <v>0</v>
      </c>
      <c r="S32" s="599">
        <f t="shared" si="1"/>
        <v>0</v>
      </c>
      <c r="T32" s="598"/>
      <c r="U32" s="599">
        <f t="shared" si="2"/>
        <v>0</v>
      </c>
      <c r="V32" s="314" t="s">
        <v>477</v>
      </c>
    </row>
    <row r="33" spans="1:22" ht="11.25">
      <c r="A33" s="626">
        <v>28</v>
      </c>
      <c r="B33" s="587"/>
      <c r="C33" s="605"/>
      <c r="D33" s="315" t="s">
        <v>696</v>
      </c>
      <c r="E33" s="314" t="s">
        <v>672</v>
      </c>
      <c r="F33" s="610">
        <v>1500</v>
      </c>
      <c r="G33" s="610">
        <v>300</v>
      </c>
      <c r="H33" s="314"/>
      <c r="I33" s="610">
        <v>1500</v>
      </c>
      <c r="J33" s="720">
        <v>185</v>
      </c>
      <c r="K33" s="610">
        <v>450</v>
      </c>
      <c r="L33" s="721">
        <v>185</v>
      </c>
      <c r="M33" s="722">
        <f>G33+G34*30</f>
        <v>9300</v>
      </c>
      <c r="N33" s="722">
        <f>I33+I34*3</f>
        <v>6000</v>
      </c>
      <c r="O33" s="722">
        <v>2000</v>
      </c>
      <c r="P33" s="722">
        <f>O33*N33</f>
        <v>12000000</v>
      </c>
      <c r="Q33" s="722">
        <f>M33*800</f>
        <v>7440000</v>
      </c>
      <c r="R33" s="599">
        <f>M33*500</f>
        <v>4650000</v>
      </c>
      <c r="S33" s="599"/>
      <c r="T33" s="598"/>
      <c r="U33" s="599">
        <f t="shared" si="2"/>
        <v>12090000</v>
      </c>
      <c r="V33" s="314" t="s">
        <v>477</v>
      </c>
    </row>
    <row r="34" spans="1:22" ht="11.25">
      <c r="A34" s="626">
        <v>29</v>
      </c>
      <c r="B34" s="587"/>
      <c r="C34" s="605"/>
      <c r="D34" s="315" t="s">
        <v>697</v>
      </c>
      <c r="E34" s="314" t="s">
        <v>672</v>
      </c>
      <c r="F34" s="610">
        <v>1500</v>
      </c>
      <c r="G34" s="610">
        <v>300</v>
      </c>
      <c r="H34" s="314"/>
      <c r="I34" s="610">
        <v>1500</v>
      </c>
      <c r="J34" s="720"/>
      <c r="K34" s="610">
        <v>600</v>
      </c>
      <c r="L34" s="721"/>
      <c r="M34" s="722"/>
      <c r="N34" s="722"/>
      <c r="O34" s="722"/>
      <c r="P34" s="722"/>
      <c r="Q34" s="722"/>
      <c r="R34" s="599">
        <f t="shared" si="0"/>
        <v>0</v>
      </c>
      <c r="S34" s="599">
        <f t="shared" si="1"/>
        <v>0</v>
      </c>
      <c r="T34" s="598"/>
      <c r="U34" s="599">
        <f t="shared" si="2"/>
        <v>0</v>
      </c>
      <c r="V34" s="314" t="s">
        <v>477</v>
      </c>
    </row>
    <row r="35" spans="1:22" ht="11.25">
      <c r="A35" s="626">
        <v>30</v>
      </c>
      <c r="B35" s="587"/>
      <c r="C35" s="601" t="s">
        <v>703</v>
      </c>
      <c r="D35" s="315" t="s">
        <v>704</v>
      </c>
      <c r="E35" s="314" t="s">
        <v>672</v>
      </c>
      <c r="F35" s="610">
        <v>187</v>
      </c>
      <c r="G35" s="610">
        <v>64</v>
      </c>
      <c r="H35" s="314">
        <v>3000</v>
      </c>
      <c r="I35" s="610">
        <v>2340</v>
      </c>
      <c r="J35" s="458">
        <v>0</v>
      </c>
      <c r="K35" s="610"/>
      <c r="L35" s="598"/>
      <c r="M35" s="599"/>
      <c r="N35" s="599"/>
      <c r="O35" s="599"/>
      <c r="P35" s="599"/>
      <c r="Q35" s="599"/>
      <c r="R35" s="599">
        <f t="shared" si="0"/>
        <v>0</v>
      </c>
      <c r="S35" s="599">
        <f t="shared" si="1"/>
        <v>0</v>
      </c>
      <c r="T35" s="598"/>
      <c r="U35" s="599">
        <f t="shared" si="2"/>
        <v>0</v>
      </c>
      <c r="V35" s="314" t="s">
        <v>477</v>
      </c>
    </row>
    <row r="36" spans="1:22" ht="22.5">
      <c r="A36" s="626">
        <v>31</v>
      </c>
      <c r="B36" s="587"/>
      <c r="C36" s="605"/>
      <c r="D36" s="317" t="s">
        <v>705</v>
      </c>
      <c r="E36" s="314" t="s">
        <v>672</v>
      </c>
      <c r="F36" s="610">
        <v>42</v>
      </c>
      <c r="G36" s="610"/>
      <c r="H36" s="314"/>
      <c r="I36" s="610">
        <v>521</v>
      </c>
      <c r="J36" s="458"/>
      <c r="K36" s="610"/>
      <c r="L36" s="598"/>
      <c r="M36" s="599"/>
      <c r="N36" s="599"/>
      <c r="O36" s="600" t="s">
        <v>841</v>
      </c>
      <c r="P36" s="599"/>
      <c r="Q36" s="599"/>
      <c r="R36" s="599">
        <f t="shared" si="0"/>
        <v>0</v>
      </c>
      <c r="S36" s="599">
        <f t="shared" si="1"/>
        <v>0</v>
      </c>
      <c r="T36" s="598"/>
      <c r="U36" s="599">
        <f t="shared" si="2"/>
        <v>0</v>
      </c>
      <c r="V36" s="314" t="s">
        <v>477</v>
      </c>
    </row>
    <row r="37" spans="1:22" ht="22.5">
      <c r="A37" s="626">
        <v>32</v>
      </c>
      <c r="B37" s="587"/>
      <c r="C37" s="605"/>
      <c r="D37" s="317" t="s">
        <v>706</v>
      </c>
      <c r="E37" s="314" t="s">
        <v>672</v>
      </c>
      <c r="F37" s="610">
        <v>188</v>
      </c>
      <c r="G37" s="610"/>
      <c r="H37" s="314"/>
      <c r="I37" s="610">
        <v>2345</v>
      </c>
      <c r="J37" s="458"/>
      <c r="K37" s="610"/>
      <c r="L37" s="598"/>
      <c r="M37" s="599"/>
      <c r="N37" s="599"/>
      <c r="O37" s="600" t="s">
        <v>841</v>
      </c>
      <c r="P37" s="599"/>
      <c r="Q37" s="599"/>
      <c r="R37" s="599">
        <f t="shared" si="0"/>
        <v>0</v>
      </c>
      <c r="S37" s="599">
        <f t="shared" si="1"/>
        <v>0</v>
      </c>
      <c r="T37" s="598"/>
      <c r="U37" s="599">
        <f t="shared" si="2"/>
        <v>0</v>
      </c>
      <c r="V37" s="314" t="s">
        <v>477</v>
      </c>
    </row>
    <row r="38" spans="1:22" ht="22.5">
      <c r="A38" s="626">
        <v>33</v>
      </c>
      <c r="B38" s="587"/>
      <c r="C38" s="605"/>
      <c r="D38" s="317" t="s">
        <v>707</v>
      </c>
      <c r="E38" s="314" t="s">
        <v>672</v>
      </c>
      <c r="F38" s="610">
        <v>221</v>
      </c>
      <c r="G38" s="610"/>
      <c r="H38" s="314"/>
      <c r="I38" s="610">
        <v>2762</v>
      </c>
      <c r="J38" s="458"/>
      <c r="K38" s="610"/>
      <c r="L38" s="598"/>
      <c r="M38" s="599"/>
      <c r="N38" s="599"/>
      <c r="O38" s="600" t="s">
        <v>841</v>
      </c>
      <c r="P38" s="599"/>
      <c r="Q38" s="599"/>
      <c r="R38" s="599">
        <f t="shared" si="0"/>
        <v>0</v>
      </c>
      <c r="S38" s="599">
        <f t="shared" si="1"/>
        <v>0</v>
      </c>
      <c r="T38" s="598"/>
      <c r="U38" s="599">
        <f t="shared" si="2"/>
        <v>0</v>
      </c>
      <c r="V38" s="314" t="s">
        <v>477</v>
      </c>
    </row>
    <row r="39" spans="1:22" ht="11.25">
      <c r="A39" s="626">
        <v>34</v>
      </c>
      <c r="B39" s="587"/>
      <c r="C39" s="601" t="s">
        <v>578</v>
      </c>
      <c r="D39" s="317" t="s">
        <v>708</v>
      </c>
      <c r="E39" s="314" t="s">
        <v>674</v>
      </c>
      <c r="F39" s="610">
        <v>340</v>
      </c>
      <c r="G39" s="610">
        <v>170</v>
      </c>
      <c r="H39" s="719">
        <v>2000</v>
      </c>
      <c r="I39" s="610">
        <v>1200</v>
      </c>
      <c r="J39" s="720">
        <v>772</v>
      </c>
      <c r="K39" s="723">
        <v>2250</v>
      </c>
      <c r="L39" s="720">
        <v>772</v>
      </c>
      <c r="M39" s="722">
        <f>450*30</f>
        <v>13500</v>
      </c>
      <c r="N39" s="722">
        <f>K39*2</f>
        <v>4500</v>
      </c>
      <c r="O39" s="722">
        <v>3500</v>
      </c>
      <c r="P39" s="722">
        <f>O39*N39</f>
        <v>15750000</v>
      </c>
      <c r="Q39" s="722">
        <f>M39*800</f>
        <v>10800000</v>
      </c>
      <c r="R39" s="599">
        <f>M39*500</f>
        <v>6750000</v>
      </c>
      <c r="S39" s="599"/>
      <c r="T39" s="598"/>
      <c r="U39" s="599">
        <f t="shared" si="2"/>
        <v>17550000</v>
      </c>
      <c r="V39" s="314" t="s">
        <v>675</v>
      </c>
    </row>
    <row r="40" spans="1:22" ht="11.25">
      <c r="A40" s="626">
        <v>35</v>
      </c>
      <c r="B40" s="587"/>
      <c r="C40" s="605"/>
      <c r="D40" s="317" t="s">
        <v>709</v>
      </c>
      <c r="E40" s="314" t="s">
        <v>674</v>
      </c>
      <c r="F40" s="610">
        <v>340</v>
      </c>
      <c r="G40" s="610">
        <v>160</v>
      </c>
      <c r="H40" s="719"/>
      <c r="I40" s="610">
        <v>1800</v>
      </c>
      <c r="J40" s="720"/>
      <c r="K40" s="723"/>
      <c r="L40" s="720"/>
      <c r="M40" s="722"/>
      <c r="N40" s="722"/>
      <c r="O40" s="722"/>
      <c r="P40" s="722"/>
      <c r="Q40" s="722"/>
      <c r="R40" s="599">
        <f t="shared" si="0"/>
        <v>0</v>
      </c>
      <c r="S40" s="599">
        <f t="shared" si="1"/>
        <v>0</v>
      </c>
      <c r="T40" s="598"/>
      <c r="U40" s="599">
        <f t="shared" si="2"/>
        <v>0</v>
      </c>
      <c r="V40" s="314" t="s">
        <v>675</v>
      </c>
    </row>
    <row r="41" spans="1:22" ht="11.25">
      <c r="A41" s="626">
        <v>36</v>
      </c>
      <c r="B41" s="587"/>
      <c r="C41" s="605"/>
      <c r="D41" s="317" t="s">
        <v>710</v>
      </c>
      <c r="E41" s="314" t="s">
        <v>674</v>
      </c>
      <c r="F41" s="610">
        <v>340</v>
      </c>
      <c r="G41" s="610">
        <v>120</v>
      </c>
      <c r="H41" s="719"/>
      <c r="I41" s="610">
        <v>650</v>
      </c>
      <c r="J41" s="720"/>
      <c r="K41" s="723"/>
      <c r="L41" s="720"/>
      <c r="M41" s="722"/>
      <c r="N41" s="722"/>
      <c r="O41" s="722"/>
      <c r="P41" s="722"/>
      <c r="Q41" s="722"/>
      <c r="R41" s="599">
        <f t="shared" si="0"/>
        <v>0</v>
      </c>
      <c r="S41" s="599">
        <f t="shared" si="1"/>
        <v>0</v>
      </c>
      <c r="T41" s="598"/>
      <c r="U41" s="599">
        <f t="shared" si="2"/>
        <v>0</v>
      </c>
      <c r="V41" s="314" t="s">
        <v>675</v>
      </c>
    </row>
    <row r="42" spans="1:22" ht="11.25">
      <c r="A42" s="626">
        <v>37</v>
      </c>
      <c r="B42" s="587"/>
      <c r="C42" s="601" t="s">
        <v>711</v>
      </c>
      <c r="D42" s="312" t="s">
        <v>712</v>
      </c>
      <c r="E42" s="314" t="s">
        <v>713</v>
      </c>
      <c r="F42" s="610">
        <v>386</v>
      </c>
      <c r="G42" s="610">
        <v>320</v>
      </c>
      <c r="H42" s="314">
        <v>300</v>
      </c>
      <c r="I42" s="610">
        <v>350</v>
      </c>
      <c r="J42" s="458">
        <v>300</v>
      </c>
      <c r="K42" s="610">
        <v>878</v>
      </c>
      <c r="L42" s="598">
        <v>300</v>
      </c>
      <c r="M42" s="599">
        <f>G42*30</f>
        <v>9600</v>
      </c>
      <c r="N42" s="599">
        <f>K42*3</f>
        <v>2634</v>
      </c>
      <c r="O42" s="599">
        <v>2000</v>
      </c>
      <c r="P42" s="599">
        <f>O42*N42</f>
        <v>5268000</v>
      </c>
      <c r="Q42" s="599">
        <f>M42*500</f>
        <v>4800000</v>
      </c>
      <c r="R42" s="599">
        <f>M42*500</f>
        <v>4800000</v>
      </c>
      <c r="S42" s="599"/>
      <c r="T42" s="598"/>
      <c r="U42" s="599">
        <f t="shared" si="2"/>
        <v>9600000</v>
      </c>
      <c r="V42" s="314" t="s">
        <v>477</v>
      </c>
    </row>
    <row r="43" spans="1:22" ht="11.25">
      <c r="A43" s="626">
        <v>38</v>
      </c>
      <c r="B43" s="587" t="s">
        <v>714</v>
      </c>
      <c r="C43" s="628" t="s">
        <v>552</v>
      </c>
      <c r="D43" s="318" t="s">
        <v>715</v>
      </c>
      <c r="E43" s="314" t="s">
        <v>674</v>
      </c>
      <c r="F43" s="611">
        <v>1000</v>
      </c>
      <c r="G43" s="612">
        <v>1000</v>
      </c>
      <c r="H43" s="314">
        <v>2000</v>
      </c>
      <c r="I43" s="611">
        <v>9103</v>
      </c>
      <c r="J43" s="458">
        <v>590</v>
      </c>
      <c r="K43" s="611">
        <v>1787</v>
      </c>
      <c r="L43" s="598">
        <v>590</v>
      </c>
      <c r="M43" s="599">
        <f>G43*30</f>
        <v>30000</v>
      </c>
      <c r="N43" s="599">
        <f>K43*3</f>
        <v>5361</v>
      </c>
      <c r="O43" s="599">
        <v>7000</v>
      </c>
      <c r="P43" s="599">
        <f>O43*N43</f>
        <v>37527000</v>
      </c>
      <c r="Q43" s="599">
        <f>M43*1200</f>
        <v>36000000</v>
      </c>
      <c r="R43" s="599">
        <f t="shared" si="0"/>
        <v>30000000</v>
      </c>
      <c r="S43" s="599">
        <f t="shared" si="1"/>
        <v>24000000</v>
      </c>
      <c r="T43" s="598"/>
      <c r="U43" s="599">
        <f t="shared" si="2"/>
        <v>90000000</v>
      </c>
      <c r="V43" s="458" t="s">
        <v>670</v>
      </c>
    </row>
    <row r="44" spans="1:22" ht="11.25">
      <c r="A44" s="626">
        <v>39</v>
      </c>
      <c r="B44" s="587"/>
      <c r="C44" s="629" t="s">
        <v>659</v>
      </c>
      <c r="D44" s="318" t="s">
        <v>716</v>
      </c>
      <c r="E44" s="314" t="s">
        <v>674</v>
      </c>
      <c r="F44" s="611">
        <v>300</v>
      </c>
      <c r="G44" s="612">
        <v>300</v>
      </c>
      <c r="H44" s="719">
        <v>2000</v>
      </c>
      <c r="I44" s="611">
        <v>2430</v>
      </c>
      <c r="J44" s="720">
        <v>1152</v>
      </c>
      <c r="K44" s="611">
        <v>1615</v>
      </c>
      <c r="L44" s="721">
        <v>1152</v>
      </c>
      <c r="M44" s="722">
        <f>G44+G45*30</f>
        <v>6300</v>
      </c>
      <c r="N44" s="722">
        <f>K44+K45*3</f>
        <v>7951</v>
      </c>
      <c r="O44" s="722">
        <v>3500</v>
      </c>
      <c r="P44" s="722">
        <f>O44*N44</f>
        <v>27828500</v>
      </c>
      <c r="Q44" s="722">
        <f>M44*1200</f>
        <v>7560000</v>
      </c>
      <c r="R44" s="722">
        <f t="shared" si="0"/>
        <v>6300000</v>
      </c>
      <c r="S44" s="722">
        <f t="shared" si="1"/>
        <v>5040000</v>
      </c>
      <c r="T44" s="598"/>
      <c r="U44" s="722">
        <f t="shared" si="2"/>
        <v>18900000</v>
      </c>
      <c r="V44" s="314" t="s">
        <v>675</v>
      </c>
    </row>
    <row r="45" spans="1:22" ht="11.25">
      <c r="A45" s="626">
        <v>40</v>
      </c>
      <c r="B45" s="587"/>
      <c r="C45" s="316"/>
      <c r="D45" s="318" t="s">
        <v>717</v>
      </c>
      <c r="E45" s="314" t="s">
        <v>674</v>
      </c>
      <c r="F45" s="611">
        <v>200</v>
      </c>
      <c r="G45" s="611">
        <v>200</v>
      </c>
      <c r="H45" s="719"/>
      <c r="I45" s="611">
        <v>3000</v>
      </c>
      <c r="J45" s="720"/>
      <c r="K45" s="611">
        <v>2112</v>
      </c>
      <c r="L45" s="721"/>
      <c r="M45" s="722"/>
      <c r="N45" s="722"/>
      <c r="O45" s="722"/>
      <c r="P45" s="722"/>
      <c r="Q45" s="722"/>
      <c r="R45" s="722"/>
      <c r="S45" s="722"/>
      <c r="T45" s="598"/>
      <c r="U45" s="722"/>
      <c r="V45" s="314" t="s">
        <v>477</v>
      </c>
    </row>
    <row r="46" spans="1:22" ht="11.25">
      <c r="A46" s="626">
        <v>41</v>
      </c>
      <c r="B46" s="587"/>
      <c r="C46" s="629" t="s">
        <v>718</v>
      </c>
      <c r="D46" s="630" t="s">
        <v>719</v>
      </c>
      <c r="E46" s="314" t="s">
        <v>674</v>
      </c>
      <c r="F46" s="611">
        <v>800</v>
      </c>
      <c r="G46" s="611">
        <v>400</v>
      </c>
      <c r="H46" s="719">
        <v>3050</v>
      </c>
      <c r="I46" s="611">
        <v>10000</v>
      </c>
      <c r="J46" s="720">
        <v>1161</v>
      </c>
      <c r="K46" s="611">
        <v>3837</v>
      </c>
      <c r="L46" s="721">
        <v>1161</v>
      </c>
      <c r="M46" s="722">
        <f>G46+G47*30</f>
        <v>4900</v>
      </c>
      <c r="N46" s="722">
        <f>K46+K47*3</f>
        <v>6633</v>
      </c>
      <c r="O46" s="722">
        <v>3500</v>
      </c>
      <c r="P46" s="722">
        <f>O46*N46</f>
        <v>23215500</v>
      </c>
      <c r="Q46" s="722">
        <f>M46*1200</f>
        <v>5880000</v>
      </c>
      <c r="R46" s="599">
        <f t="shared" si="0"/>
        <v>4900000</v>
      </c>
      <c r="S46" s="599">
        <f t="shared" si="1"/>
        <v>3920000</v>
      </c>
      <c r="T46" s="598"/>
      <c r="U46" s="599">
        <f t="shared" si="2"/>
        <v>14700000</v>
      </c>
      <c r="V46" s="314" t="s">
        <v>675</v>
      </c>
    </row>
    <row r="47" spans="1:22" ht="11.25">
      <c r="A47" s="626">
        <v>42</v>
      </c>
      <c r="B47" s="587"/>
      <c r="C47" s="316"/>
      <c r="D47" s="630" t="s">
        <v>720</v>
      </c>
      <c r="E47" s="314" t="s">
        <v>674</v>
      </c>
      <c r="F47" s="611">
        <v>200</v>
      </c>
      <c r="G47" s="611">
        <v>150</v>
      </c>
      <c r="H47" s="719"/>
      <c r="I47" s="611">
        <v>2500</v>
      </c>
      <c r="J47" s="720"/>
      <c r="K47" s="611">
        <v>932</v>
      </c>
      <c r="L47" s="721"/>
      <c r="M47" s="722"/>
      <c r="N47" s="722"/>
      <c r="O47" s="722"/>
      <c r="P47" s="722"/>
      <c r="Q47" s="722"/>
      <c r="R47" s="599">
        <f t="shared" si="0"/>
        <v>0</v>
      </c>
      <c r="S47" s="599">
        <f t="shared" si="1"/>
        <v>0</v>
      </c>
      <c r="T47" s="598"/>
      <c r="U47" s="599">
        <f t="shared" si="2"/>
        <v>0</v>
      </c>
      <c r="V47" s="314" t="s">
        <v>675</v>
      </c>
    </row>
    <row r="48" spans="1:22" ht="11.25">
      <c r="A48" s="626">
        <v>43</v>
      </c>
      <c r="B48" s="587"/>
      <c r="C48" s="631" t="s">
        <v>221</v>
      </c>
      <c r="D48" s="630" t="s">
        <v>721</v>
      </c>
      <c r="E48" s="314" t="s">
        <v>674</v>
      </c>
      <c r="F48" s="611">
        <v>170</v>
      </c>
      <c r="G48" s="611">
        <v>160</v>
      </c>
      <c r="H48" s="719">
        <v>3000</v>
      </c>
      <c r="I48" s="611">
        <v>4500</v>
      </c>
      <c r="J48" s="720">
        <v>2613</v>
      </c>
      <c r="K48" s="611">
        <v>3200</v>
      </c>
      <c r="L48" s="721">
        <v>2613</v>
      </c>
      <c r="M48" s="599">
        <f>G48*30</f>
        <v>4800</v>
      </c>
      <c r="N48" s="599">
        <f>K48*3</f>
        <v>9600</v>
      </c>
      <c r="O48" s="599">
        <v>3500</v>
      </c>
      <c r="P48" s="599">
        <f>O48*N48</f>
        <v>33600000</v>
      </c>
      <c r="Q48" s="599">
        <f>M48*800</f>
        <v>3840000</v>
      </c>
      <c r="R48" s="599">
        <f t="shared" si="0"/>
        <v>4800000</v>
      </c>
      <c r="S48" s="599">
        <f t="shared" si="1"/>
        <v>3840000</v>
      </c>
      <c r="T48" s="598"/>
      <c r="U48" s="599">
        <f t="shared" si="2"/>
        <v>12480000</v>
      </c>
      <c r="V48" s="314" t="s">
        <v>477</v>
      </c>
    </row>
    <row r="49" spans="1:22" ht="11.25">
      <c r="A49" s="626">
        <v>44</v>
      </c>
      <c r="B49" s="587"/>
      <c r="C49" s="316"/>
      <c r="D49" s="630" t="s">
        <v>722</v>
      </c>
      <c r="E49" s="314" t="s">
        <v>674</v>
      </c>
      <c r="F49" s="611">
        <v>1000</v>
      </c>
      <c r="G49" s="611">
        <v>1000</v>
      </c>
      <c r="H49" s="719"/>
      <c r="I49" s="611">
        <v>5500</v>
      </c>
      <c r="J49" s="720"/>
      <c r="K49" s="611">
        <v>5317</v>
      </c>
      <c r="L49" s="721"/>
      <c r="M49" s="599">
        <f>G49*30</f>
        <v>30000</v>
      </c>
      <c r="N49" s="599">
        <f>K49*3</f>
        <v>15951</v>
      </c>
      <c r="O49" s="599">
        <v>5700</v>
      </c>
      <c r="P49" s="599">
        <f>O49*N49</f>
        <v>90920700</v>
      </c>
      <c r="Q49" s="599">
        <f>M49*1200</f>
        <v>36000000</v>
      </c>
      <c r="R49" s="599">
        <f t="shared" si="0"/>
        <v>30000000</v>
      </c>
      <c r="S49" s="599">
        <f t="shared" si="1"/>
        <v>24000000</v>
      </c>
      <c r="T49" s="598"/>
      <c r="U49" s="599">
        <f t="shared" si="2"/>
        <v>90000000</v>
      </c>
      <c r="V49" s="458" t="s">
        <v>670</v>
      </c>
    </row>
    <row r="50" spans="1:22" ht="11.25">
      <c r="A50" s="626">
        <v>45</v>
      </c>
      <c r="B50" s="587"/>
      <c r="C50" s="631" t="s">
        <v>643</v>
      </c>
      <c r="D50" s="630" t="s">
        <v>723</v>
      </c>
      <c r="E50" s="314" t="s">
        <v>674</v>
      </c>
      <c r="F50" s="611">
        <v>50</v>
      </c>
      <c r="G50" s="611">
        <v>40</v>
      </c>
      <c r="H50" s="314">
        <v>300</v>
      </c>
      <c r="I50" s="611">
        <v>1200</v>
      </c>
      <c r="J50" s="458">
        <v>177</v>
      </c>
      <c r="K50" s="611">
        <v>488</v>
      </c>
      <c r="L50" s="598">
        <v>177</v>
      </c>
      <c r="M50" s="599">
        <f>G50*30</f>
        <v>1200</v>
      </c>
      <c r="N50" s="599">
        <f>K50*3</f>
        <v>1464</v>
      </c>
      <c r="O50" s="599">
        <v>3500</v>
      </c>
      <c r="P50" s="599">
        <f>O50*N50</f>
        <v>5124000</v>
      </c>
      <c r="Q50" s="599">
        <f>M50*800</f>
        <v>960000</v>
      </c>
      <c r="R50" s="599">
        <f t="shared" si="0"/>
        <v>1200000</v>
      </c>
      <c r="S50" s="599">
        <f t="shared" si="1"/>
        <v>960000</v>
      </c>
      <c r="T50" s="598"/>
      <c r="U50" s="599">
        <f t="shared" si="2"/>
        <v>3120000</v>
      </c>
      <c r="V50" s="314" t="s">
        <v>477</v>
      </c>
    </row>
    <row r="51" spans="1:22" ht="22.5">
      <c r="A51" s="626">
        <v>46</v>
      </c>
      <c r="B51" s="587"/>
      <c r="C51" s="316"/>
      <c r="D51" s="630" t="s">
        <v>724</v>
      </c>
      <c r="E51" s="314" t="s">
        <v>674</v>
      </c>
      <c r="F51" s="314"/>
      <c r="G51" s="314"/>
      <c r="H51" s="314"/>
      <c r="I51" s="314"/>
      <c r="J51" s="458"/>
      <c r="K51" s="314"/>
      <c r="L51" s="598"/>
      <c r="M51" s="599"/>
      <c r="N51" s="599"/>
      <c r="O51" s="600" t="s">
        <v>841</v>
      </c>
      <c r="P51" s="599"/>
      <c r="Q51" s="599"/>
      <c r="R51" s="599">
        <f t="shared" si="0"/>
        <v>0</v>
      </c>
      <c r="S51" s="599">
        <f t="shared" si="1"/>
        <v>0</v>
      </c>
      <c r="T51" s="598"/>
      <c r="U51" s="599">
        <f t="shared" si="2"/>
        <v>0</v>
      </c>
      <c r="V51" s="314" t="s">
        <v>675</v>
      </c>
    </row>
    <row r="52" spans="1:22" ht="22.5">
      <c r="A52" s="626">
        <v>47</v>
      </c>
      <c r="B52" s="587"/>
      <c r="C52" s="316"/>
      <c r="D52" s="630" t="s">
        <v>725</v>
      </c>
      <c r="E52" s="314" t="s">
        <v>674</v>
      </c>
      <c r="F52" s="314"/>
      <c r="G52" s="314"/>
      <c r="H52" s="314"/>
      <c r="I52" s="314"/>
      <c r="J52" s="458"/>
      <c r="K52" s="314"/>
      <c r="L52" s="598"/>
      <c r="M52" s="599"/>
      <c r="N52" s="599"/>
      <c r="O52" s="600" t="s">
        <v>841</v>
      </c>
      <c r="P52" s="599"/>
      <c r="Q52" s="599"/>
      <c r="R52" s="599">
        <f t="shared" si="0"/>
        <v>0</v>
      </c>
      <c r="S52" s="599">
        <f t="shared" si="1"/>
        <v>0</v>
      </c>
      <c r="T52" s="598"/>
      <c r="U52" s="599">
        <f t="shared" si="2"/>
        <v>0</v>
      </c>
      <c r="V52" s="314" t="s">
        <v>675</v>
      </c>
    </row>
    <row r="53" spans="1:22" ht="22.5">
      <c r="A53" s="626">
        <v>48</v>
      </c>
      <c r="B53" s="587"/>
      <c r="C53" s="631" t="s">
        <v>637</v>
      </c>
      <c r="D53" s="630" t="s">
        <v>726</v>
      </c>
      <c r="E53" s="314" t="s">
        <v>674</v>
      </c>
      <c r="F53" s="314"/>
      <c r="G53" s="314"/>
      <c r="H53" s="314"/>
      <c r="I53" s="314"/>
      <c r="J53" s="458"/>
      <c r="K53" s="314"/>
      <c r="L53" s="598"/>
      <c r="M53" s="599"/>
      <c r="N53" s="599"/>
      <c r="O53" s="600" t="s">
        <v>841</v>
      </c>
      <c r="P53" s="599"/>
      <c r="Q53" s="599"/>
      <c r="R53" s="599">
        <f t="shared" si="0"/>
        <v>0</v>
      </c>
      <c r="S53" s="599">
        <f t="shared" si="1"/>
        <v>0</v>
      </c>
      <c r="T53" s="598"/>
      <c r="U53" s="599">
        <f t="shared" si="2"/>
        <v>0</v>
      </c>
      <c r="V53" s="314" t="s">
        <v>675</v>
      </c>
    </row>
    <row r="54" spans="1:22" ht="22.5">
      <c r="A54" s="626">
        <v>49</v>
      </c>
      <c r="B54" s="587"/>
      <c r="C54" s="631" t="s">
        <v>644</v>
      </c>
      <c r="D54" s="630" t="s">
        <v>727</v>
      </c>
      <c r="E54" s="314" t="s">
        <v>674</v>
      </c>
      <c r="F54" s="314"/>
      <c r="G54" s="314"/>
      <c r="H54" s="314"/>
      <c r="I54" s="314"/>
      <c r="J54" s="458"/>
      <c r="K54" s="314"/>
      <c r="L54" s="598"/>
      <c r="M54" s="599"/>
      <c r="N54" s="599"/>
      <c r="O54" s="600" t="s">
        <v>841</v>
      </c>
      <c r="P54" s="599"/>
      <c r="Q54" s="599"/>
      <c r="R54" s="599">
        <f t="shared" si="0"/>
        <v>0</v>
      </c>
      <c r="S54" s="599">
        <f t="shared" si="1"/>
        <v>0</v>
      </c>
      <c r="T54" s="598"/>
      <c r="U54" s="599">
        <f t="shared" si="2"/>
        <v>0</v>
      </c>
      <c r="V54" s="458" t="s">
        <v>670</v>
      </c>
    </row>
    <row r="55" spans="1:22" ht="11.25">
      <c r="A55" s="626">
        <v>50</v>
      </c>
      <c r="B55" s="587"/>
      <c r="C55" s="316"/>
      <c r="D55" s="630" t="s">
        <v>842</v>
      </c>
      <c r="E55" s="314" t="s">
        <v>674</v>
      </c>
      <c r="F55" s="611">
        <v>1000</v>
      </c>
      <c r="G55" s="611">
        <v>1000</v>
      </c>
      <c r="H55" s="314">
        <v>2000</v>
      </c>
      <c r="I55" s="611">
        <v>7114</v>
      </c>
      <c r="J55" s="458">
        <v>935</v>
      </c>
      <c r="K55" s="611">
        <v>3677</v>
      </c>
      <c r="L55" s="598">
        <v>935</v>
      </c>
      <c r="M55" s="599">
        <f>G55*30</f>
        <v>30000</v>
      </c>
      <c r="N55" s="599">
        <f>K55*3</f>
        <v>11031</v>
      </c>
      <c r="O55" s="599">
        <v>5700</v>
      </c>
      <c r="P55" s="599">
        <f>O55*N55</f>
        <v>62876700</v>
      </c>
      <c r="Q55" s="599">
        <f>M55*1200</f>
        <v>36000000</v>
      </c>
      <c r="R55" s="599">
        <f t="shared" si="0"/>
        <v>30000000</v>
      </c>
      <c r="S55" s="599">
        <f t="shared" si="1"/>
        <v>24000000</v>
      </c>
      <c r="T55" s="598"/>
      <c r="U55" s="599">
        <f t="shared" si="2"/>
        <v>90000000</v>
      </c>
      <c r="V55" s="458" t="s">
        <v>670</v>
      </c>
    </row>
    <row r="56" spans="1:22" ht="11.25">
      <c r="A56" s="626">
        <v>51</v>
      </c>
      <c r="B56" s="587" t="s">
        <v>728</v>
      </c>
      <c r="C56" s="597" t="s">
        <v>729</v>
      </c>
      <c r="D56" s="630" t="s">
        <v>730</v>
      </c>
      <c r="E56" s="314" t="s">
        <v>674</v>
      </c>
      <c r="F56" s="614">
        <v>900</v>
      </c>
      <c r="G56" s="614">
        <v>900</v>
      </c>
      <c r="H56" s="314">
        <v>2000</v>
      </c>
      <c r="I56" s="615">
        <v>6570</v>
      </c>
      <c r="J56" s="458">
        <v>1567</v>
      </c>
      <c r="K56" s="615">
        <v>6895</v>
      </c>
      <c r="L56" s="598">
        <v>1167</v>
      </c>
      <c r="M56" s="599">
        <f aca="true" t="shared" si="3" ref="M56:M61">G56*30</f>
        <v>27000</v>
      </c>
      <c r="N56" s="599">
        <f aca="true" t="shared" si="4" ref="N56:N61">K56*3</f>
        <v>20685</v>
      </c>
      <c r="O56" s="599">
        <v>5700</v>
      </c>
      <c r="P56" s="599">
        <f aca="true" t="shared" si="5" ref="P56:P61">O56*N56</f>
        <v>117904500</v>
      </c>
      <c r="Q56" s="599">
        <f aca="true" t="shared" si="6" ref="Q56:Q61">M56*1200</f>
        <v>32400000</v>
      </c>
      <c r="R56" s="599">
        <f t="shared" si="0"/>
        <v>27000000</v>
      </c>
      <c r="S56" s="599">
        <f t="shared" si="1"/>
        <v>21600000</v>
      </c>
      <c r="T56" s="599">
        <v>20000000</v>
      </c>
      <c r="U56" s="599">
        <f>S56+R56+Q56+T56</f>
        <v>101000000</v>
      </c>
      <c r="V56" s="458" t="s">
        <v>670</v>
      </c>
    </row>
    <row r="57" spans="1:22" ht="11.25">
      <c r="A57" s="626">
        <v>52</v>
      </c>
      <c r="B57" s="587"/>
      <c r="C57" s="597" t="s">
        <v>154</v>
      </c>
      <c r="D57" s="630" t="s">
        <v>843</v>
      </c>
      <c r="E57" s="314" t="s">
        <v>674</v>
      </c>
      <c r="F57" s="614">
        <v>360</v>
      </c>
      <c r="G57" s="614">
        <v>360</v>
      </c>
      <c r="H57" s="314">
        <v>500</v>
      </c>
      <c r="I57" s="615">
        <v>2000</v>
      </c>
      <c r="J57" s="458">
        <v>430</v>
      </c>
      <c r="K57" s="615">
        <v>1075</v>
      </c>
      <c r="L57" s="598">
        <v>430</v>
      </c>
      <c r="M57" s="599">
        <f t="shared" si="3"/>
        <v>10800</v>
      </c>
      <c r="N57" s="599">
        <f t="shared" si="4"/>
        <v>3225</v>
      </c>
      <c r="O57" s="599">
        <v>3000</v>
      </c>
      <c r="P57" s="599">
        <f t="shared" si="5"/>
        <v>9675000</v>
      </c>
      <c r="Q57" s="599">
        <f t="shared" si="6"/>
        <v>12960000</v>
      </c>
      <c r="R57" s="599">
        <f t="shared" si="0"/>
        <v>10800000</v>
      </c>
      <c r="S57" s="599">
        <f t="shared" si="1"/>
        <v>8640000</v>
      </c>
      <c r="T57" s="598"/>
      <c r="U57" s="599">
        <f t="shared" si="2"/>
        <v>32400000</v>
      </c>
      <c r="V57" s="314" t="s">
        <v>675</v>
      </c>
    </row>
    <row r="58" spans="1:22" ht="11.25">
      <c r="A58" s="626">
        <v>53</v>
      </c>
      <c r="B58" s="587"/>
      <c r="C58" s="597" t="s">
        <v>621</v>
      </c>
      <c r="D58" s="616" t="s">
        <v>731</v>
      </c>
      <c r="E58" s="625" t="s">
        <v>674</v>
      </c>
      <c r="F58" s="617">
        <v>320</v>
      </c>
      <c r="G58" s="617">
        <v>256</v>
      </c>
      <c r="H58" s="314">
        <v>200</v>
      </c>
      <c r="I58" s="618">
        <v>500</v>
      </c>
      <c r="J58" s="458">
        <v>213</v>
      </c>
      <c r="K58" s="618">
        <v>800</v>
      </c>
      <c r="L58" s="598">
        <v>213</v>
      </c>
      <c r="M58" s="599">
        <f t="shared" si="3"/>
        <v>7680</v>
      </c>
      <c r="N58" s="599">
        <f t="shared" si="4"/>
        <v>2400</v>
      </c>
      <c r="O58" s="599">
        <v>3000</v>
      </c>
      <c r="P58" s="599">
        <f t="shared" si="5"/>
        <v>7200000</v>
      </c>
      <c r="Q58" s="599">
        <f t="shared" si="6"/>
        <v>9216000</v>
      </c>
      <c r="R58" s="599">
        <f t="shared" si="0"/>
        <v>7680000</v>
      </c>
      <c r="S58" s="599">
        <f t="shared" si="1"/>
        <v>6144000</v>
      </c>
      <c r="T58" s="598"/>
      <c r="U58" s="599">
        <f t="shared" si="2"/>
        <v>23040000</v>
      </c>
      <c r="V58" s="314" t="s">
        <v>675</v>
      </c>
    </row>
    <row r="59" spans="1:22" ht="11.25">
      <c r="A59" s="626">
        <v>54</v>
      </c>
      <c r="B59" s="587"/>
      <c r="C59" s="596" t="s">
        <v>732</v>
      </c>
      <c r="D59" s="616" t="s">
        <v>733</v>
      </c>
      <c r="E59" s="625" t="s">
        <v>674</v>
      </c>
      <c r="F59" s="619">
        <v>2000</v>
      </c>
      <c r="G59" s="619">
        <v>1000</v>
      </c>
      <c r="H59" s="719">
        <v>3500</v>
      </c>
      <c r="I59" s="620">
        <v>13916</v>
      </c>
      <c r="J59" s="720">
        <v>2672</v>
      </c>
      <c r="K59" s="620">
        <v>8432</v>
      </c>
      <c r="L59" s="721">
        <v>2672</v>
      </c>
      <c r="M59" s="599">
        <f t="shared" si="3"/>
        <v>30000</v>
      </c>
      <c r="N59" s="599">
        <f t="shared" si="4"/>
        <v>25296</v>
      </c>
      <c r="O59" s="599">
        <v>5700</v>
      </c>
      <c r="P59" s="599">
        <f t="shared" si="5"/>
        <v>144187200</v>
      </c>
      <c r="Q59" s="599">
        <f t="shared" si="6"/>
        <v>36000000</v>
      </c>
      <c r="R59" s="599">
        <f t="shared" si="0"/>
        <v>30000000</v>
      </c>
      <c r="S59" s="599">
        <f t="shared" si="1"/>
        <v>24000000</v>
      </c>
      <c r="T59" s="598"/>
      <c r="U59" s="599">
        <f t="shared" si="2"/>
        <v>90000000</v>
      </c>
      <c r="V59" s="458" t="s">
        <v>670</v>
      </c>
    </row>
    <row r="60" spans="1:22" ht="11.25">
      <c r="A60" s="626">
        <v>55</v>
      </c>
      <c r="B60" s="587"/>
      <c r="C60" s="632"/>
      <c r="D60" s="616" t="s">
        <v>734</v>
      </c>
      <c r="E60" s="625" t="s">
        <v>674</v>
      </c>
      <c r="F60" s="619">
        <v>100</v>
      </c>
      <c r="G60" s="619">
        <v>100</v>
      </c>
      <c r="H60" s="719"/>
      <c r="I60" s="620">
        <v>1272</v>
      </c>
      <c r="J60" s="720"/>
      <c r="K60" s="620">
        <v>1376</v>
      </c>
      <c r="L60" s="721"/>
      <c r="M60" s="599">
        <f t="shared" si="3"/>
        <v>3000</v>
      </c>
      <c r="N60" s="599">
        <f t="shared" si="4"/>
        <v>4128</v>
      </c>
      <c r="O60" s="599">
        <v>2000</v>
      </c>
      <c r="P60" s="599">
        <f t="shared" si="5"/>
        <v>8256000</v>
      </c>
      <c r="Q60" s="599">
        <f t="shared" si="6"/>
        <v>3600000</v>
      </c>
      <c r="R60" s="599">
        <f t="shared" si="0"/>
        <v>3000000</v>
      </c>
      <c r="S60" s="599">
        <f t="shared" si="1"/>
        <v>2400000</v>
      </c>
      <c r="T60" s="598"/>
      <c r="U60" s="599">
        <f t="shared" si="2"/>
        <v>9000000</v>
      </c>
      <c r="V60" s="314" t="s">
        <v>477</v>
      </c>
    </row>
    <row r="61" spans="1:22" ht="11.25">
      <c r="A61" s="626">
        <v>56</v>
      </c>
      <c r="B61" s="587"/>
      <c r="C61" s="596" t="s">
        <v>618</v>
      </c>
      <c r="D61" s="616" t="s">
        <v>844</v>
      </c>
      <c r="E61" s="625" t="s">
        <v>674</v>
      </c>
      <c r="F61" s="619">
        <v>1440</v>
      </c>
      <c r="G61" s="619">
        <v>1440</v>
      </c>
      <c r="H61" s="619">
        <v>2000</v>
      </c>
      <c r="I61" s="619">
        <v>10000</v>
      </c>
      <c r="J61" s="619">
        <v>2100</v>
      </c>
      <c r="K61" s="619">
        <v>7350</v>
      </c>
      <c r="L61" s="598">
        <v>7350</v>
      </c>
      <c r="M61" s="599">
        <f t="shared" si="3"/>
        <v>43200</v>
      </c>
      <c r="N61" s="599">
        <f t="shared" si="4"/>
        <v>22050</v>
      </c>
      <c r="O61" s="599">
        <v>4700</v>
      </c>
      <c r="P61" s="599">
        <f t="shared" si="5"/>
        <v>103635000</v>
      </c>
      <c r="Q61" s="599">
        <f t="shared" si="6"/>
        <v>51840000</v>
      </c>
      <c r="R61" s="599">
        <f t="shared" si="0"/>
        <v>43200000</v>
      </c>
      <c r="S61" s="599">
        <f t="shared" si="1"/>
        <v>34560000</v>
      </c>
      <c r="T61" s="598"/>
      <c r="U61" s="599">
        <f t="shared" si="2"/>
        <v>129600000</v>
      </c>
      <c r="V61" s="458" t="s">
        <v>670</v>
      </c>
    </row>
    <row r="62" spans="1:22" ht="22.5">
      <c r="A62" s="626">
        <v>57</v>
      </c>
      <c r="B62" s="573" t="s">
        <v>735</v>
      </c>
      <c r="C62" s="613" t="s">
        <v>736</v>
      </c>
      <c r="D62" s="616" t="s">
        <v>737</v>
      </c>
      <c r="E62" s="314" t="s">
        <v>672</v>
      </c>
      <c r="F62" s="621"/>
      <c r="G62" s="621"/>
      <c r="H62" s="314"/>
      <c r="I62" s="621"/>
      <c r="J62" s="458"/>
      <c r="K62" s="621"/>
      <c r="L62" s="598"/>
      <c r="M62" s="599"/>
      <c r="N62" s="599"/>
      <c r="O62" s="600" t="s">
        <v>841</v>
      </c>
      <c r="P62" s="599"/>
      <c r="Q62" s="599"/>
      <c r="R62" s="599"/>
      <c r="S62" s="599"/>
      <c r="T62" s="598"/>
      <c r="U62" s="598"/>
      <c r="V62" s="314" t="s">
        <v>675</v>
      </c>
    </row>
    <row r="63" spans="21:22" ht="11.25">
      <c r="U63" s="633"/>
      <c r="V63" s="624"/>
    </row>
  </sheetData>
  <mergeCells count="85">
    <mergeCell ref="E4:E5"/>
    <mergeCell ref="F4:F5"/>
    <mergeCell ref="A1:V1"/>
    <mergeCell ref="A4:A5"/>
    <mergeCell ref="B4:B5"/>
    <mergeCell ref="C4:C5"/>
    <mergeCell ref="D4:D5"/>
    <mergeCell ref="G4:G5"/>
    <mergeCell ref="H4:H5"/>
    <mergeCell ref="Q4:T4"/>
    <mergeCell ref="U4:U5"/>
    <mergeCell ref="I4:I5"/>
    <mergeCell ref="J4:J5"/>
    <mergeCell ref="K4:K5"/>
    <mergeCell ref="L4:L5"/>
    <mergeCell ref="V4:V5"/>
    <mergeCell ref="M4:M5"/>
    <mergeCell ref="N4:N5"/>
    <mergeCell ref="O4:O5"/>
    <mergeCell ref="P4:P5"/>
    <mergeCell ref="Q8:Q10"/>
    <mergeCell ref="R8:R10"/>
    <mergeCell ref="S8:S10"/>
    <mergeCell ref="J8:J10"/>
    <mergeCell ref="L8:L10"/>
    <mergeCell ref="M8:M10"/>
    <mergeCell ref="N8:N10"/>
    <mergeCell ref="T8:T10"/>
    <mergeCell ref="U8:U10"/>
    <mergeCell ref="F25:F27"/>
    <mergeCell ref="G25:G27"/>
    <mergeCell ref="H25:H27"/>
    <mergeCell ref="I25:I27"/>
    <mergeCell ref="J25:J27"/>
    <mergeCell ref="K25:K27"/>
    <mergeCell ref="L25:L27"/>
    <mergeCell ref="P8:P10"/>
    <mergeCell ref="J29:J30"/>
    <mergeCell ref="L29:L30"/>
    <mergeCell ref="J33:J34"/>
    <mergeCell ref="L33:L34"/>
    <mergeCell ref="M33:M34"/>
    <mergeCell ref="N33:N34"/>
    <mergeCell ref="O33:O34"/>
    <mergeCell ref="P33:P34"/>
    <mergeCell ref="Q33:Q34"/>
    <mergeCell ref="H39:H41"/>
    <mergeCell ref="J39:J41"/>
    <mergeCell ref="K39:K41"/>
    <mergeCell ref="L39:L41"/>
    <mergeCell ref="M39:M41"/>
    <mergeCell ref="N39:N41"/>
    <mergeCell ref="O39:O41"/>
    <mergeCell ref="P39:P41"/>
    <mergeCell ref="Q39:Q41"/>
    <mergeCell ref="H44:H45"/>
    <mergeCell ref="J44:J45"/>
    <mergeCell ref="L44:L45"/>
    <mergeCell ref="M44:M45"/>
    <mergeCell ref="U44:U45"/>
    <mergeCell ref="H46:H47"/>
    <mergeCell ref="J46:J47"/>
    <mergeCell ref="L46:L47"/>
    <mergeCell ref="M46:M47"/>
    <mergeCell ref="N46:N47"/>
    <mergeCell ref="O46:O47"/>
    <mergeCell ref="P46:P47"/>
    <mergeCell ref="N44:N45"/>
    <mergeCell ref="O44:O45"/>
    <mergeCell ref="J48:J49"/>
    <mergeCell ref="L48:L49"/>
    <mergeCell ref="R44:R45"/>
    <mergeCell ref="S44:S45"/>
    <mergeCell ref="P44:P45"/>
    <mergeCell ref="Q44:Q45"/>
    <mergeCell ref="A2:V2"/>
    <mergeCell ref="H59:H60"/>
    <mergeCell ref="J59:J60"/>
    <mergeCell ref="L59:L60"/>
    <mergeCell ref="B6:B16"/>
    <mergeCell ref="B17:B42"/>
    <mergeCell ref="B43:B55"/>
    <mergeCell ref="B56:B61"/>
    <mergeCell ref="Q46:Q47"/>
    <mergeCell ref="H48:H49"/>
  </mergeCells>
  <printOptions/>
  <pageMargins left="0.2" right="0.2" top="0.3" bottom="0.33" header="0.22" footer="0.18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4"/>
  <sheetViews>
    <sheetView workbookViewId="0" topLeftCell="A1">
      <selection activeCell="A2" sqref="A2:T2"/>
    </sheetView>
  </sheetViews>
  <sheetFormatPr defaultColWidth="3.57421875" defaultRowHeight="12.75"/>
  <cols>
    <col min="1" max="1" width="4.57421875" style="188" customWidth="1"/>
    <col min="2" max="2" width="13.421875" style="188" customWidth="1"/>
    <col min="3" max="3" width="8.7109375" style="188" customWidth="1"/>
    <col min="4" max="4" width="8.421875" style="188" customWidth="1"/>
    <col min="5" max="5" width="7.7109375" style="188" customWidth="1"/>
    <col min="6" max="6" width="5.421875" style="188" customWidth="1"/>
    <col min="7" max="7" width="7.421875" style="188" customWidth="1"/>
    <col min="8" max="8" width="7.7109375" style="188" customWidth="1"/>
    <col min="9" max="9" width="5.57421875" style="188" customWidth="1"/>
    <col min="10" max="10" width="6.57421875" style="188" customWidth="1"/>
    <col min="11" max="11" width="7.421875" style="188" customWidth="1"/>
    <col min="12" max="12" width="5.57421875" style="188" customWidth="1"/>
    <col min="13" max="13" width="6.00390625" style="188" customWidth="1"/>
    <col min="14" max="14" width="7.7109375" style="188" customWidth="1"/>
    <col min="15" max="15" width="8.8515625" style="188" customWidth="1"/>
    <col min="16" max="16" width="6.00390625" style="188" customWidth="1"/>
    <col min="17" max="17" width="7.57421875" style="188" customWidth="1"/>
    <col min="18" max="18" width="8.57421875" style="188" customWidth="1"/>
    <col min="19" max="19" width="7.00390625" style="188" customWidth="1"/>
    <col min="20" max="20" width="5.57421875" style="188" customWidth="1"/>
    <col min="21" max="21" width="6.57421875" style="188" customWidth="1"/>
    <col min="22" max="23" width="4.8515625" style="188" customWidth="1"/>
    <col min="24" max="24" width="8.140625" style="188" customWidth="1"/>
    <col min="25" max="29" width="4.8515625" style="188" customWidth="1"/>
    <col min="30" max="16384" width="3.57421875" style="188" customWidth="1"/>
  </cols>
  <sheetData>
    <row r="1" spans="1:20" ht="15.75" customHeight="1">
      <c r="A1" s="743" t="s">
        <v>795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</row>
    <row r="2" spans="1:20" ht="18" customHeight="1">
      <c r="A2" s="744" t="s">
        <v>850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</row>
    <row r="3" spans="1:24" ht="2.25" customHeight="1" hidden="1">
      <c r="A3" s="187"/>
      <c r="B3" s="239" t="s">
        <v>794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X3" s="189"/>
    </row>
    <row r="4" spans="1:24" ht="7.5" customHeight="1">
      <c r="A4" s="187"/>
      <c r="B4" s="23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X4" s="189"/>
    </row>
    <row r="5" spans="1:20" s="566" customFormat="1" ht="41.25" customHeight="1">
      <c r="A5" s="735" t="s">
        <v>264</v>
      </c>
      <c r="B5" s="737" t="s">
        <v>478</v>
      </c>
      <c r="C5" s="739" t="s">
        <v>479</v>
      </c>
      <c r="D5" s="730" t="s">
        <v>480</v>
      </c>
      <c r="E5" s="732"/>
      <c r="F5" s="730" t="s">
        <v>481</v>
      </c>
      <c r="G5" s="732"/>
      <c r="H5" s="731"/>
      <c r="I5" s="730" t="s">
        <v>482</v>
      </c>
      <c r="J5" s="732"/>
      <c r="K5" s="731"/>
      <c r="L5" s="730" t="s">
        <v>483</v>
      </c>
      <c r="M5" s="732"/>
      <c r="N5" s="731"/>
      <c r="O5" s="730" t="s">
        <v>484</v>
      </c>
      <c r="P5" s="731"/>
      <c r="Q5" s="730" t="s">
        <v>485</v>
      </c>
      <c r="R5" s="745"/>
      <c r="S5" s="746" t="s">
        <v>486</v>
      </c>
      <c r="T5" s="747"/>
    </row>
    <row r="6" spans="1:20" ht="84" customHeight="1">
      <c r="A6" s="736"/>
      <c r="B6" s="738"/>
      <c r="C6" s="740"/>
      <c r="D6" s="310" t="s">
        <v>487</v>
      </c>
      <c r="E6" s="310" t="s">
        <v>488</v>
      </c>
      <c r="F6" s="310" t="s">
        <v>278</v>
      </c>
      <c r="G6" s="310" t="s">
        <v>489</v>
      </c>
      <c r="H6" s="310" t="s">
        <v>490</v>
      </c>
      <c r="I6" s="310" t="s">
        <v>491</v>
      </c>
      <c r="J6" s="310" t="s">
        <v>492</v>
      </c>
      <c r="K6" s="310" t="s">
        <v>493</v>
      </c>
      <c r="L6" s="310" t="s">
        <v>278</v>
      </c>
      <c r="M6" s="310" t="s">
        <v>494</v>
      </c>
      <c r="N6" s="310" t="s">
        <v>495</v>
      </c>
      <c r="O6" s="310" t="s">
        <v>496</v>
      </c>
      <c r="P6" s="310" t="s">
        <v>497</v>
      </c>
      <c r="Q6" s="310" t="s">
        <v>498</v>
      </c>
      <c r="R6" s="310" t="s">
        <v>497</v>
      </c>
      <c r="S6" s="310" t="s">
        <v>499</v>
      </c>
      <c r="T6" s="310" t="s">
        <v>497</v>
      </c>
    </row>
    <row r="7" spans="1:20" ht="16.5" customHeight="1">
      <c r="A7" s="311">
        <v>1</v>
      </c>
      <c r="B7" s="308">
        <v>2</v>
      </c>
      <c r="C7" s="311">
        <v>3</v>
      </c>
      <c r="D7" s="308">
        <v>4</v>
      </c>
      <c r="E7" s="311">
        <v>5</v>
      </c>
      <c r="F7" s="308">
        <v>6</v>
      </c>
      <c r="G7" s="311">
        <v>7</v>
      </c>
      <c r="H7" s="308">
        <v>8</v>
      </c>
      <c r="I7" s="311">
        <v>9</v>
      </c>
      <c r="J7" s="308">
        <v>10</v>
      </c>
      <c r="K7" s="311">
        <v>11</v>
      </c>
      <c r="L7" s="308">
        <v>12</v>
      </c>
      <c r="M7" s="311">
        <v>13</v>
      </c>
      <c r="N7" s="308">
        <v>14</v>
      </c>
      <c r="O7" s="311">
        <v>15</v>
      </c>
      <c r="P7" s="308">
        <v>16</v>
      </c>
      <c r="Q7" s="311">
        <v>17</v>
      </c>
      <c r="R7" s="308">
        <v>18</v>
      </c>
      <c r="S7" s="311">
        <v>19</v>
      </c>
      <c r="T7" s="308">
        <v>20</v>
      </c>
    </row>
    <row r="8" spans="1:20" s="259" customFormat="1" ht="16.5" customHeight="1">
      <c r="A8" s="748" t="s">
        <v>738</v>
      </c>
      <c r="B8" s="749"/>
      <c r="C8" s="240">
        <f>C9+C29+C48+C66+C85+C109</f>
        <v>761374</v>
      </c>
      <c r="D8" s="240">
        <f>D9+D29+D48+D66+D85+D109</f>
        <v>622983</v>
      </c>
      <c r="E8" s="257">
        <f>D8/C8*100</f>
        <v>81.82351905896445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40">
        <f>Q9+Q29+Q48+Q66+Q85+Q109</f>
        <v>43739</v>
      </c>
      <c r="R8" s="240">
        <f>R9+R29+R48+R66+R85+R109</f>
        <v>155078</v>
      </c>
      <c r="S8" s="258"/>
      <c r="T8" s="258"/>
    </row>
    <row r="9" spans="1:20" s="259" customFormat="1" ht="16.5" customHeight="1">
      <c r="A9" s="733" t="s">
        <v>739</v>
      </c>
      <c r="B9" s="734"/>
      <c r="C9" s="241">
        <f>SUM(C10:C28)</f>
        <v>145032</v>
      </c>
      <c r="D9" s="241">
        <f>SUM(D10:D28)</f>
        <v>124312</v>
      </c>
      <c r="E9" s="257">
        <f aca="true" t="shared" si="0" ref="E9:E72">D9/C9*100</f>
        <v>85.71349771085002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41">
        <f>SUM(Q10:Q28)</f>
        <v>19496</v>
      </c>
      <c r="R9" s="241">
        <f>SUM(R10:R28)</f>
        <v>68384</v>
      </c>
      <c r="S9" s="260"/>
      <c r="T9" s="260"/>
    </row>
    <row r="10" spans="1:20" s="259" customFormat="1" ht="16.5" customHeight="1">
      <c r="A10" s="242">
        <v>1</v>
      </c>
      <c r="B10" s="2" t="s">
        <v>229</v>
      </c>
      <c r="C10" s="243">
        <v>12919</v>
      </c>
      <c r="D10" s="243">
        <v>9674</v>
      </c>
      <c r="E10" s="261">
        <f t="shared" si="0"/>
        <v>74.88195680780247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43"/>
      <c r="R10" s="243"/>
      <c r="S10" s="260"/>
      <c r="T10" s="260"/>
    </row>
    <row r="11" spans="1:20" s="259" customFormat="1" ht="16.5" customHeight="1">
      <c r="A11" s="242">
        <v>2</v>
      </c>
      <c r="B11" s="2" t="s">
        <v>740</v>
      </c>
      <c r="C11" s="243">
        <v>10821</v>
      </c>
      <c r="D11" s="243">
        <v>8582</v>
      </c>
      <c r="E11" s="261">
        <f t="shared" si="0"/>
        <v>79.30875150170964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43"/>
      <c r="R11" s="243"/>
      <c r="S11" s="260"/>
      <c r="T11" s="260"/>
    </row>
    <row r="12" spans="1:20" s="259" customFormat="1" ht="16.5" customHeight="1">
      <c r="A12" s="242">
        <v>3</v>
      </c>
      <c r="B12" s="2" t="s">
        <v>741</v>
      </c>
      <c r="C12" s="243">
        <v>7451</v>
      </c>
      <c r="D12" s="243">
        <v>6036</v>
      </c>
      <c r="E12" s="261">
        <f t="shared" si="0"/>
        <v>81.00926050194604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43">
        <v>3</v>
      </c>
      <c r="R12" s="243">
        <v>15</v>
      </c>
      <c r="S12" s="260"/>
      <c r="T12" s="260"/>
    </row>
    <row r="13" spans="1:20" s="259" customFormat="1" ht="16.5" customHeight="1">
      <c r="A13" s="242">
        <v>4</v>
      </c>
      <c r="B13" s="2" t="s">
        <v>742</v>
      </c>
      <c r="C13" s="243">
        <v>5976</v>
      </c>
      <c r="D13" s="243">
        <v>4267</v>
      </c>
      <c r="E13" s="261">
        <f t="shared" si="0"/>
        <v>71.40227576974564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43"/>
      <c r="R13" s="243"/>
      <c r="S13" s="260"/>
      <c r="T13" s="260"/>
    </row>
    <row r="14" spans="1:20" s="259" customFormat="1" ht="16.5" customHeight="1">
      <c r="A14" s="242">
        <v>5</v>
      </c>
      <c r="B14" s="2" t="s">
        <v>285</v>
      </c>
      <c r="C14" s="243">
        <v>7143</v>
      </c>
      <c r="D14" s="243">
        <v>5654</v>
      </c>
      <c r="E14" s="261">
        <f t="shared" si="0"/>
        <v>79.15441691166177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43"/>
      <c r="R14" s="243"/>
      <c r="S14" s="260"/>
      <c r="T14" s="260"/>
    </row>
    <row r="15" spans="1:20" s="259" customFormat="1" ht="16.5" customHeight="1">
      <c r="A15" s="242">
        <v>6</v>
      </c>
      <c r="B15" s="2" t="s">
        <v>680</v>
      </c>
      <c r="C15" s="243">
        <v>6717</v>
      </c>
      <c r="D15" s="243">
        <v>6528</v>
      </c>
      <c r="E15" s="261">
        <f t="shared" si="0"/>
        <v>97.18624385886557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43">
        <v>1254</v>
      </c>
      <c r="R15" s="243">
        <v>4908</v>
      </c>
      <c r="S15" s="260"/>
      <c r="T15" s="260"/>
    </row>
    <row r="16" spans="1:20" s="259" customFormat="1" ht="16.5" customHeight="1">
      <c r="A16" s="242">
        <v>7</v>
      </c>
      <c r="B16" s="2" t="s">
        <v>570</v>
      </c>
      <c r="C16" s="243">
        <v>3650</v>
      </c>
      <c r="D16" s="243">
        <v>3408</v>
      </c>
      <c r="E16" s="261">
        <f t="shared" si="0"/>
        <v>93.36986301369863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43">
        <v>572</v>
      </c>
      <c r="R16" s="243">
        <v>2750</v>
      </c>
      <c r="S16" s="260"/>
      <c r="T16" s="260"/>
    </row>
    <row r="17" spans="1:20" s="259" customFormat="1" ht="16.5" customHeight="1">
      <c r="A17" s="242">
        <v>8</v>
      </c>
      <c r="B17" s="2" t="s">
        <v>294</v>
      </c>
      <c r="C17" s="243">
        <v>7294</v>
      </c>
      <c r="D17" s="243">
        <v>6617</v>
      </c>
      <c r="E17" s="261">
        <f t="shared" si="0"/>
        <v>90.71839868384974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43">
        <v>1391</v>
      </c>
      <c r="R17" s="243">
        <v>4492</v>
      </c>
      <c r="S17" s="260"/>
      <c r="T17" s="260"/>
    </row>
    <row r="18" spans="1:20" s="259" customFormat="1" ht="16.5" customHeight="1">
      <c r="A18" s="242">
        <v>9</v>
      </c>
      <c r="B18" s="2" t="s">
        <v>743</v>
      </c>
      <c r="C18" s="243">
        <v>7607</v>
      </c>
      <c r="D18" s="243">
        <v>6598</v>
      </c>
      <c r="E18" s="261">
        <f t="shared" si="0"/>
        <v>86.73590114368345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43">
        <v>750</v>
      </c>
      <c r="R18" s="243">
        <v>2827</v>
      </c>
      <c r="S18" s="260"/>
      <c r="T18" s="260"/>
    </row>
    <row r="19" spans="1:20" s="259" customFormat="1" ht="16.5" customHeight="1">
      <c r="A19" s="242">
        <v>10</v>
      </c>
      <c r="B19" s="2" t="s">
        <v>137</v>
      </c>
      <c r="C19" s="243">
        <v>11154</v>
      </c>
      <c r="D19" s="243">
        <v>7153</v>
      </c>
      <c r="E19" s="261">
        <f t="shared" si="0"/>
        <v>64.12946028330644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43"/>
      <c r="R19" s="243"/>
      <c r="S19" s="260"/>
      <c r="T19" s="260"/>
    </row>
    <row r="20" spans="1:20" s="259" customFormat="1" ht="16.5" customHeight="1">
      <c r="A20" s="242">
        <v>11</v>
      </c>
      <c r="B20" s="2" t="s">
        <v>744</v>
      </c>
      <c r="C20" s="243">
        <v>8915</v>
      </c>
      <c r="D20" s="243">
        <v>8026</v>
      </c>
      <c r="E20" s="261">
        <f t="shared" si="0"/>
        <v>90.02804262478968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43">
        <v>1511</v>
      </c>
      <c r="R20" s="243">
        <v>5832</v>
      </c>
      <c r="S20" s="260"/>
      <c r="T20" s="260"/>
    </row>
    <row r="21" spans="1:20" s="259" customFormat="1" ht="16.5" customHeight="1">
      <c r="A21" s="242">
        <v>12</v>
      </c>
      <c r="B21" s="2" t="s">
        <v>563</v>
      </c>
      <c r="C21" s="243">
        <v>6489</v>
      </c>
      <c r="D21" s="243">
        <v>6290</v>
      </c>
      <c r="E21" s="261">
        <f t="shared" si="0"/>
        <v>96.93327169055324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43">
        <v>1585</v>
      </c>
      <c r="R21" s="243">
        <v>5969</v>
      </c>
      <c r="S21" s="260"/>
      <c r="T21" s="260"/>
    </row>
    <row r="22" spans="1:20" s="259" customFormat="1" ht="16.5" customHeight="1">
      <c r="A22" s="242">
        <v>13</v>
      </c>
      <c r="B22" s="2" t="s">
        <v>292</v>
      </c>
      <c r="C22" s="243">
        <v>6648</v>
      </c>
      <c r="D22" s="243">
        <v>6517</v>
      </c>
      <c r="E22" s="261">
        <f t="shared" si="0"/>
        <v>98.0294825511432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43">
        <v>1395</v>
      </c>
      <c r="R22" s="243">
        <v>5628</v>
      </c>
      <c r="S22" s="260"/>
      <c r="T22" s="260"/>
    </row>
    <row r="23" spans="1:20" s="259" customFormat="1" ht="16.5" customHeight="1">
      <c r="A23" s="242">
        <v>14</v>
      </c>
      <c r="B23" s="2" t="s">
        <v>745</v>
      </c>
      <c r="C23" s="243">
        <v>4765</v>
      </c>
      <c r="D23" s="243">
        <v>4429</v>
      </c>
      <c r="E23" s="261">
        <f t="shared" si="0"/>
        <v>92.9485834207765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43">
        <v>1264</v>
      </c>
      <c r="R23" s="243">
        <v>4112</v>
      </c>
      <c r="S23" s="258"/>
      <c r="T23" s="258"/>
    </row>
    <row r="24" spans="1:20" s="259" customFormat="1" ht="16.5" customHeight="1">
      <c r="A24" s="242">
        <v>15</v>
      </c>
      <c r="B24" s="2" t="s">
        <v>746</v>
      </c>
      <c r="C24" s="243">
        <v>8089</v>
      </c>
      <c r="D24" s="243">
        <v>7285</v>
      </c>
      <c r="E24" s="261">
        <f t="shared" si="0"/>
        <v>90.06057609098777</v>
      </c>
      <c r="F24" s="260"/>
      <c r="G24" s="260"/>
      <c r="H24" s="260"/>
      <c r="I24" s="262"/>
      <c r="J24" s="262"/>
      <c r="K24" s="260"/>
      <c r="L24" s="260"/>
      <c r="M24" s="260"/>
      <c r="N24" s="260"/>
      <c r="O24" s="260"/>
      <c r="P24" s="260"/>
      <c r="Q24" s="243">
        <v>1903</v>
      </c>
      <c r="R24" s="243">
        <v>6265</v>
      </c>
      <c r="S24" s="260"/>
      <c r="T24" s="260"/>
    </row>
    <row r="25" spans="1:20" s="259" customFormat="1" ht="16.5" customHeight="1">
      <c r="A25" s="242">
        <v>16</v>
      </c>
      <c r="B25" s="2" t="s">
        <v>747</v>
      </c>
      <c r="C25" s="243">
        <f>504+850+812+720+557+390+595+790+587</f>
        <v>5805</v>
      </c>
      <c r="D25" s="243">
        <v>5175</v>
      </c>
      <c r="E25" s="261">
        <f t="shared" si="0"/>
        <v>89.14728682170544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43">
        <v>1728</v>
      </c>
      <c r="R25" s="243">
        <v>5101</v>
      </c>
      <c r="S25" s="260"/>
      <c r="T25" s="260"/>
    </row>
    <row r="26" spans="1:20" s="259" customFormat="1" ht="16.5" customHeight="1">
      <c r="A26" s="242">
        <v>17</v>
      </c>
      <c r="B26" s="2" t="s">
        <v>291</v>
      </c>
      <c r="C26" s="243">
        <v>7481</v>
      </c>
      <c r="D26" s="243">
        <v>7371</v>
      </c>
      <c r="E26" s="261">
        <f t="shared" si="0"/>
        <v>98.52960834113087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43">
        <v>1980</v>
      </c>
      <c r="R26" s="243">
        <v>7175</v>
      </c>
      <c r="S26" s="260"/>
      <c r="T26" s="260"/>
    </row>
    <row r="27" spans="1:20" s="259" customFormat="1" ht="16.5" customHeight="1">
      <c r="A27" s="242">
        <v>18</v>
      </c>
      <c r="B27" s="2" t="s">
        <v>290</v>
      </c>
      <c r="C27" s="243">
        <v>6279</v>
      </c>
      <c r="D27" s="243">
        <v>5534</v>
      </c>
      <c r="E27" s="261">
        <f t="shared" si="0"/>
        <v>88.13505335244466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43">
        <v>1454</v>
      </c>
      <c r="R27" s="243">
        <v>5096</v>
      </c>
      <c r="S27" s="260"/>
      <c r="T27" s="260"/>
    </row>
    <row r="28" spans="1:20" s="259" customFormat="1" ht="16.5" customHeight="1">
      <c r="A28" s="242">
        <v>19</v>
      </c>
      <c r="B28" s="2" t="s">
        <v>293</v>
      </c>
      <c r="C28" s="243">
        <v>9829</v>
      </c>
      <c r="D28" s="243">
        <v>9168</v>
      </c>
      <c r="E28" s="261">
        <f t="shared" si="0"/>
        <v>93.27500254349374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43">
        <v>2706</v>
      </c>
      <c r="R28" s="243">
        <v>8214</v>
      </c>
      <c r="S28" s="260"/>
      <c r="T28" s="260"/>
    </row>
    <row r="29" spans="1:20" s="259" customFormat="1" ht="16.5" customHeight="1">
      <c r="A29" s="733" t="s">
        <v>748</v>
      </c>
      <c r="B29" s="734"/>
      <c r="C29" s="244">
        <f>SUM(C30:C47)</f>
        <v>127455</v>
      </c>
      <c r="D29" s="244">
        <f>SUM(D30:D47)</f>
        <v>107097</v>
      </c>
      <c r="E29" s="257">
        <f t="shared" si="0"/>
        <v>84.02730375426621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44">
        <f>SUM(Q30:Q47)</f>
        <v>2351</v>
      </c>
      <c r="R29" s="244">
        <f>SUM(R30:R47)</f>
        <v>7731</v>
      </c>
      <c r="S29" s="260"/>
      <c r="T29" s="260"/>
    </row>
    <row r="30" spans="1:20" s="259" customFormat="1" ht="16.5" customHeight="1">
      <c r="A30" s="242">
        <v>20</v>
      </c>
      <c r="B30" s="2" t="s">
        <v>626</v>
      </c>
      <c r="C30" s="245">
        <v>9196</v>
      </c>
      <c r="D30" s="245">
        <v>7963</v>
      </c>
      <c r="E30" s="261">
        <f t="shared" si="0"/>
        <v>86.59199652022619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45">
        <v>13</v>
      </c>
      <c r="R30" s="245">
        <v>53</v>
      </c>
      <c r="S30" s="260"/>
      <c r="T30" s="260"/>
    </row>
    <row r="31" spans="1:20" s="259" customFormat="1" ht="16.5" customHeight="1">
      <c r="A31" s="242">
        <v>21</v>
      </c>
      <c r="B31" s="2" t="s">
        <v>561</v>
      </c>
      <c r="C31" s="245">
        <v>6094</v>
      </c>
      <c r="D31" s="245">
        <v>4590</v>
      </c>
      <c r="E31" s="261">
        <f t="shared" si="0"/>
        <v>75.31998687233344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45"/>
      <c r="R31" s="245"/>
      <c r="S31" s="260"/>
      <c r="T31" s="260"/>
    </row>
    <row r="32" spans="1:20" s="259" customFormat="1" ht="16.5" customHeight="1">
      <c r="A32" s="242">
        <v>22</v>
      </c>
      <c r="B32" s="2" t="s">
        <v>551</v>
      </c>
      <c r="C32" s="245">
        <v>3543</v>
      </c>
      <c r="D32" s="245">
        <v>2134</v>
      </c>
      <c r="E32" s="261">
        <f t="shared" si="0"/>
        <v>60.2314422805532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45"/>
      <c r="R32" s="245"/>
      <c r="S32" s="260"/>
      <c r="T32" s="260"/>
    </row>
    <row r="33" spans="1:20" s="259" customFormat="1" ht="16.5" customHeight="1">
      <c r="A33" s="242">
        <v>23</v>
      </c>
      <c r="B33" s="2" t="s">
        <v>749</v>
      </c>
      <c r="C33" s="245">
        <v>6136</v>
      </c>
      <c r="D33" s="245">
        <v>5395</v>
      </c>
      <c r="E33" s="261">
        <f t="shared" si="0"/>
        <v>87.92372881355932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45">
        <v>420</v>
      </c>
      <c r="R33" s="245">
        <v>1532</v>
      </c>
      <c r="S33" s="260"/>
      <c r="T33" s="260"/>
    </row>
    <row r="34" spans="1:20" s="259" customFormat="1" ht="16.5" customHeight="1">
      <c r="A34" s="242">
        <v>24</v>
      </c>
      <c r="B34" s="2" t="s">
        <v>628</v>
      </c>
      <c r="C34" s="245">
        <v>5172</v>
      </c>
      <c r="D34" s="245">
        <v>4805</v>
      </c>
      <c r="E34" s="261">
        <f t="shared" si="0"/>
        <v>92.90409899458623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45">
        <v>503</v>
      </c>
      <c r="R34" s="245">
        <v>1653</v>
      </c>
      <c r="S34" s="260"/>
      <c r="T34" s="260"/>
    </row>
    <row r="35" spans="1:20" s="259" customFormat="1" ht="16.5" customHeight="1">
      <c r="A35" s="242">
        <v>25</v>
      </c>
      <c r="B35" s="2" t="s">
        <v>155</v>
      </c>
      <c r="C35" s="245">
        <v>9275</v>
      </c>
      <c r="D35" s="245">
        <v>7236</v>
      </c>
      <c r="E35" s="261">
        <f t="shared" si="0"/>
        <v>78.01617250673854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45"/>
      <c r="R35" s="245"/>
      <c r="S35" s="260"/>
      <c r="T35" s="260"/>
    </row>
    <row r="36" spans="1:20" s="259" customFormat="1" ht="16.5" customHeight="1">
      <c r="A36" s="242">
        <v>26</v>
      </c>
      <c r="B36" s="2" t="s">
        <v>553</v>
      </c>
      <c r="C36" s="245">
        <v>2815</v>
      </c>
      <c r="D36" s="246">
        <v>2400</v>
      </c>
      <c r="E36" s="261">
        <f t="shared" si="0"/>
        <v>85.2575488454707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45"/>
      <c r="R36" s="245"/>
      <c r="S36" s="260"/>
      <c r="T36" s="260"/>
    </row>
    <row r="37" spans="1:20" s="259" customFormat="1" ht="16.5" customHeight="1">
      <c r="A37" s="242">
        <v>27</v>
      </c>
      <c r="B37" s="2" t="s">
        <v>627</v>
      </c>
      <c r="C37" s="245">
        <v>5767</v>
      </c>
      <c r="D37" s="245">
        <v>5420</v>
      </c>
      <c r="E37" s="261">
        <f t="shared" si="0"/>
        <v>93.98300676261488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45"/>
      <c r="R37" s="245"/>
      <c r="S37" s="260"/>
      <c r="T37" s="260"/>
    </row>
    <row r="38" spans="1:20" s="259" customFormat="1" ht="16.5" customHeight="1">
      <c r="A38" s="242">
        <v>28</v>
      </c>
      <c r="B38" s="2" t="s">
        <v>216</v>
      </c>
      <c r="C38" s="245">
        <v>7337</v>
      </c>
      <c r="D38" s="245">
        <v>5185</v>
      </c>
      <c r="E38" s="261">
        <f t="shared" si="0"/>
        <v>70.66921084912089</v>
      </c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45"/>
      <c r="R38" s="245"/>
      <c r="S38" s="258"/>
      <c r="T38" s="258"/>
    </row>
    <row r="39" spans="1:20" s="259" customFormat="1" ht="16.5" customHeight="1">
      <c r="A39" s="242">
        <v>29</v>
      </c>
      <c r="B39" s="2" t="s">
        <v>750</v>
      </c>
      <c r="C39" s="245">
        <v>8650</v>
      </c>
      <c r="D39" s="245">
        <v>6380</v>
      </c>
      <c r="E39" s="261">
        <f t="shared" si="0"/>
        <v>73.757225433526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45">
        <v>26</v>
      </c>
      <c r="R39" s="245">
        <v>84</v>
      </c>
      <c r="S39" s="260"/>
      <c r="T39" s="260"/>
    </row>
    <row r="40" spans="1:20" s="259" customFormat="1" ht="16.5" customHeight="1">
      <c r="A40" s="242">
        <v>30</v>
      </c>
      <c r="B40" s="2" t="s">
        <v>632</v>
      </c>
      <c r="C40" s="245">
        <v>12186</v>
      </c>
      <c r="D40" s="245">
        <v>10816</v>
      </c>
      <c r="E40" s="261">
        <f t="shared" si="0"/>
        <v>88.75759067782701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45"/>
      <c r="R40" s="245"/>
      <c r="S40" s="260"/>
      <c r="T40" s="260"/>
    </row>
    <row r="41" spans="1:20" s="259" customFormat="1" ht="16.5" customHeight="1">
      <c r="A41" s="242">
        <v>31</v>
      </c>
      <c r="B41" s="2" t="s">
        <v>751</v>
      </c>
      <c r="C41" s="245">
        <v>4280</v>
      </c>
      <c r="D41" s="245">
        <v>3344</v>
      </c>
      <c r="E41" s="261">
        <f t="shared" si="0"/>
        <v>78.13084112149534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45"/>
      <c r="R41" s="245"/>
      <c r="S41" s="260"/>
      <c r="T41" s="260"/>
    </row>
    <row r="42" spans="1:20" s="259" customFormat="1" ht="16.5" customHeight="1">
      <c r="A42" s="242">
        <v>32</v>
      </c>
      <c r="B42" s="247" t="s">
        <v>631</v>
      </c>
      <c r="C42" s="245">
        <v>4971</v>
      </c>
      <c r="D42" s="245">
        <v>3581</v>
      </c>
      <c r="E42" s="261">
        <f t="shared" si="0"/>
        <v>72.037819352243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45"/>
      <c r="R42" s="245"/>
      <c r="S42" s="260"/>
      <c r="T42" s="260"/>
    </row>
    <row r="43" spans="1:20" s="259" customFormat="1" ht="16.5" customHeight="1">
      <c r="A43" s="242">
        <v>33</v>
      </c>
      <c r="B43" s="2" t="s">
        <v>558</v>
      </c>
      <c r="C43" s="245">
        <v>14725</v>
      </c>
      <c r="D43" s="245">
        <v>13379</v>
      </c>
      <c r="E43" s="261">
        <f t="shared" si="0"/>
        <v>90.8590831918506</v>
      </c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45">
        <v>4</v>
      </c>
      <c r="R43" s="245">
        <v>13</v>
      </c>
      <c r="S43" s="260"/>
      <c r="T43" s="260"/>
    </row>
    <row r="44" spans="1:20" s="259" customFormat="1" ht="16.5" customHeight="1">
      <c r="A44" s="242">
        <v>34</v>
      </c>
      <c r="B44" s="2" t="s">
        <v>629</v>
      </c>
      <c r="C44" s="245">
        <v>8718</v>
      </c>
      <c r="D44" s="245">
        <v>8025</v>
      </c>
      <c r="E44" s="261">
        <f t="shared" si="0"/>
        <v>92.05092911218169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45"/>
      <c r="R44" s="245"/>
      <c r="S44" s="260"/>
      <c r="T44" s="260"/>
    </row>
    <row r="45" spans="1:20" s="259" customFormat="1" ht="16.5" customHeight="1">
      <c r="A45" s="242">
        <v>35</v>
      </c>
      <c r="B45" s="2" t="s">
        <v>630</v>
      </c>
      <c r="C45" s="245">
        <v>6326</v>
      </c>
      <c r="D45" s="245">
        <v>5813</v>
      </c>
      <c r="E45" s="261">
        <f t="shared" si="0"/>
        <v>91.89061018020867</v>
      </c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45">
        <v>110</v>
      </c>
      <c r="R45" s="245">
        <v>360</v>
      </c>
      <c r="S45" s="263"/>
      <c r="T45" s="263"/>
    </row>
    <row r="46" spans="1:20" s="259" customFormat="1" ht="16.5" customHeight="1">
      <c r="A46" s="242">
        <v>36</v>
      </c>
      <c r="B46" s="2" t="s">
        <v>560</v>
      </c>
      <c r="C46" s="245">
        <v>8228</v>
      </c>
      <c r="D46" s="245">
        <v>6595</v>
      </c>
      <c r="E46" s="261">
        <f t="shared" si="0"/>
        <v>80.15313563441906</v>
      </c>
      <c r="F46" s="260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45"/>
      <c r="R46" s="245"/>
      <c r="S46" s="260"/>
      <c r="T46" s="260"/>
    </row>
    <row r="47" spans="1:20" s="259" customFormat="1" ht="16.5" customHeight="1">
      <c r="A47" s="242">
        <v>37</v>
      </c>
      <c r="B47" s="2" t="s">
        <v>542</v>
      </c>
      <c r="C47" s="245">
        <v>4036</v>
      </c>
      <c r="D47" s="245">
        <v>4036</v>
      </c>
      <c r="E47" s="261">
        <f t="shared" si="0"/>
        <v>100</v>
      </c>
      <c r="F47" s="260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45">
        <v>1275</v>
      </c>
      <c r="R47" s="245">
        <v>4036</v>
      </c>
      <c r="S47" s="260"/>
      <c r="T47" s="260"/>
    </row>
    <row r="48" spans="1:20" s="259" customFormat="1" ht="16.5" customHeight="1">
      <c r="A48" s="741" t="s">
        <v>714</v>
      </c>
      <c r="B48" s="742"/>
      <c r="C48" s="248">
        <f>SUM(C49:C65)</f>
        <v>119808</v>
      </c>
      <c r="D48" s="248">
        <f>SUM(D49:D65)</f>
        <v>96214</v>
      </c>
      <c r="E48" s="257">
        <f t="shared" si="0"/>
        <v>80.30682425213675</v>
      </c>
      <c r="F48" s="260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48">
        <f>SUM(Q49:Q65)</f>
        <v>6956</v>
      </c>
      <c r="R48" s="248">
        <f>SUM(R49:R65)</f>
        <v>23875</v>
      </c>
      <c r="S48" s="260"/>
      <c r="T48" s="260"/>
    </row>
    <row r="49" spans="1:20" s="259" customFormat="1" ht="16.5" customHeight="1">
      <c r="A49" s="2">
        <v>38</v>
      </c>
      <c r="B49" s="265" t="s">
        <v>752</v>
      </c>
      <c r="C49" s="249">
        <v>6641</v>
      </c>
      <c r="D49" s="249">
        <v>6485</v>
      </c>
      <c r="E49" s="261">
        <f t="shared" si="0"/>
        <v>97.650956181298</v>
      </c>
      <c r="F49" s="260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49">
        <v>590</v>
      </c>
      <c r="R49" s="249">
        <v>1787</v>
      </c>
      <c r="S49" s="260"/>
      <c r="T49" s="260"/>
    </row>
    <row r="50" spans="1:20" s="259" customFormat="1" ht="16.5" customHeight="1">
      <c r="A50" s="2">
        <v>39</v>
      </c>
      <c r="B50" s="266" t="s">
        <v>753</v>
      </c>
      <c r="C50" s="250">
        <v>8743</v>
      </c>
      <c r="D50" s="250">
        <v>4439</v>
      </c>
      <c r="E50" s="261">
        <f t="shared" si="0"/>
        <v>50.77204620839528</v>
      </c>
      <c r="F50" s="260"/>
      <c r="G50" s="264"/>
      <c r="H50" s="267"/>
      <c r="I50" s="264"/>
      <c r="J50" s="264"/>
      <c r="K50" s="264"/>
      <c r="L50" s="264"/>
      <c r="M50" s="264"/>
      <c r="N50" s="264"/>
      <c r="O50" s="264"/>
      <c r="P50" s="264"/>
      <c r="Q50" s="250"/>
      <c r="R50" s="250"/>
      <c r="S50" s="260"/>
      <c r="T50" s="260"/>
    </row>
    <row r="51" spans="1:20" s="259" customFormat="1" ht="16.5" customHeight="1">
      <c r="A51" s="2">
        <v>40</v>
      </c>
      <c r="B51" s="265" t="s">
        <v>287</v>
      </c>
      <c r="C51" s="249">
        <v>4851</v>
      </c>
      <c r="D51" s="249">
        <v>4715</v>
      </c>
      <c r="E51" s="261">
        <f t="shared" si="0"/>
        <v>97.19645433931147</v>
      </c>
      <c r="F51" s="260"/>
      <c r="G51" s="264"/>
      <c r="H51" s="264"/>
      <c r="I51" s="264"/>
      <c r="J51" s="264"/>
      <c r="K51" s="264"/>
      <c r="L51" s="264"/>
      <c r="M51" s="264"/>
      <c r="N51" s="264"/>
      <c r="O51" s="268"/>
      <c r="P51" s="264"/>
      <c r="Q51" s="249"/>
      <c r="R51" s="249"/>
      <c r="S51" s="260"/>
      <c r="T51" s="260"/>
    </row>
    <row r="52" spans="1:20" s="259" customFormat="1" ht="16.5" customHeight="1">
      <c r="A52" s="2">
        <v>41</v>
      </c>
      <c r="B52" s="265" t="s">
        <v>754</v>
      </c>
      <c r="C52" s="249">
        <v>7461</v>
      </c>
      <c r="D52" s="249">
        <v>7328</v>
      </c>
      <c r="E52" s="261">
        <f t="shared" si="0"/>
        <v>98.21739713175177</v>
      </c>
      <c r="F52" s="260"/>
      <c r="G52" s="264"/>
      <c r="H52" s="264"/>
      <c r="I52" s="264"/>
      <c r="J52" s="264"/>
      <c r="K52" s="264"/>
      <c r="L52" s="264"/>
      <c r="M52" s="264"/>
      <c r="N52" s="264"/>
      <c r="O52" s="269"/>
      <c r="P52" s="264"/>
      <c r="Q52" s="249">
        <v>1161</v>
      </c>
      <c r="R52" s="249">
        <v>4560</v>
      </c>
      <c r="S52" s="260"/>
      <c r="T52" s="260"/>
    </row>
    <row r="53" spans="1:20" s="259" customFormat="1" ht="16.5" customHeight="1">
      <c r="A53" s="2">
        <v>42</v>
      </c>
      <c r="B53" s="265" t="s">
        <v>755</v>
      </c>
      <c r="C53" s="249">
        <v>7394</v>
      </c>
      <c r="D53" s="249">
        <v>4758</v>
      </c>
      <c r="E53" s="261">
        <f t="shared" si="0"/>
        <v>64.34947254530701</v>
      </c>
      <c r="F53" s="260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70"/>
      <c r="R53" s="270"/>
      <c r="S53" s="260"/>
      <c r="T53" s="260"/>
    </row>
    <row r="54" spans="1:20" s="259" customFormat="1" ht="16.5" customHeight="1">
      <c r="A54" s="2">
        <v>43</v>
      </c>
      <c r="B54" s="265" t="s">
        <v>310</v>
      </c>
      <c r="C54" s="249">
        <v>7114</v>
      </c>
      <c r="D54" s="249">
        <v>6737</v>
      </c>
      <c r="E54" s="261">
        <f t="shared" si="0"/>
        <v>94.70059038515602</v>
      </c>
      <c r="F54" s="271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49">
        <v>935</v>
      </c>
      <c r="R54" s="249">
        <v>3677</v>
      </c>
      <c r="S54" s="271"/>
      <c r="T54" s="271"/>
    </row>
    <row r="55" spans="1:20" s="259" customFormat="1" ht="16.5" customHeight="1">
      <c r="A55" s="2">
        <v>44</v>
      </c>
      <c r="B55" s="265" t="s">
        <v>756</v>
      </c>
      <c r="C55" s="249">
        <v>9433</v>
      </c>
      <c r="D55" s="249">
        <v>8433</v>
      </c>
      <c r="E55" s="261">
        <f t="shared" si="0"/>
        <v>89.39891868970635</v>
      </c>
      <c r="F55" s="260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49">
        <v>1152</v>
      </c>
      <c r="R55" s="249">
        <v>3727</v>
      </c>
      <c r="S55" s="260"/>
      <c r="T55" s="260"/>
    </row>
    <row r="56" spans="1:20" s="259" customFormat="1" ht="16.5" customHeight="1">
      <c r="A56" s="2">
        <v>45</v>
      </c>
      <c r="B56" s="265" t="s">
        <v>308</v>
      </c>
      <c r="C56" s="249">
        <v>5900</v>
      </c>
      <c r="D56" s="249">
        <v>4682</v>
      </c>
      <c r="E56" s="261">
        <f t="shared" si="0"/>
        <v>79.35593220338984</v>
      </c>
      <c r="F56" s="271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49"/>
      <c r="R56" s="249"/>
      <c r="S56" s="271"/>
      <c r="T56" s="271"/>
    </row>
    <row r="57" spans="1:20" s="259" customFormat="1" ht="16.5" customHeight="1">
      <c r="A57" s="2">
        <v>46</v>
      </c>
      <c r="B57" s="265" t="s">
        <v>757</v>
      </c>
      <c r="C57" s="249">
        <v>5489</v>
      </c>
      <c r="D57" s="249">
        <v>3219</v>
      </c>
      <c r="E57" s="261">
        <f t="shared" si="0"/>
        <v>58.644561850974675</v>
      </c>
      <c r="F57" s="271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0"/>
      <c r="R57" s="270"/>
      <c r="S57" s="271"/>
      <c r="T57" s="271"/>
    </row>
    <row r="58" spans="1:20" s="259" customFormat="1" ht="16.5" customHeight="1">
      <c r="A58" s="2">
        <v>47</v>
      </c>
      <c r="B58" s="266" t="s">
        <v>758</v>
      </c>
      <c r="C58" s="250">
        <v>6309</v>
      </c>
      <c r="D58" s="250">
        <v>4661</v>
      </c>
      <c r="E58" s="261">
        <f t="shared" si="0"/>
        <v>73.87858614677445</v>
      </c>
      <c r="F58" s="260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50"/>
      <c r="R58" s="250"/>
      <c r="S58" s="260"/>
      <c r="T58" s="260"/>
    </row>
    <row r="59" spans="1:20" s="259" customFormat="1" ht="16.5" customHeight="1">
      <c r="A59" s="2">
        <v>48</v>
      </c>
      <c r="B59" s="265" t="s">
        <v>759</v>
      </c>
      <c r="C59" s="249">
        <v>8847</v>
      </c>
      <c r="D59" s="249">
        <v>7115</v>
      </c>
      <c r="E59" s="261">
        <f t="shared" si="0"/>
        <v>80.42274217248784</v>
      </c>
      <c r="F59" s="260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49">
        <v>177</v>
      </c>
      <c r="R59" s="249">
        <v>488</v>
      </c>
      <c r="S59" s="260"/>
      <c r="T59" s="260"/>
    </row>
    <row r="60" spans="1:20" s="259" customFormat="1" ht="16.5" customHeight="1">
      <c r="A60" s="2">
        <v>49</v>
      </c>
      <c r="B60" s="266" t="s">
        <v>760</v>
      </c>
      <c r="C60" s="250">
        <v>7202</v>
      </c>
      <c r="D60" s="250">
        <v>5168</v>
      </c>
      <c r="E60" s="261">
        <f t="shared" si="0"/>
        <v>71.7578450430436</v>
      </c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51">
        <v>67</v>
      </c>
      <c r="R60" s="251">
        <v>200</v>
      </c>
      <c r="S60" s="273"/>
      <c r="T60" s="273"/>
    </row>
    <row r="61" spans="1:20" s="259" customFormat="1" ht="16.5" customHeight="1">
      <c r="A61" s="2">
        <v>50</v>
      </c>
      <c r="B61" s="265" t="s">
        <v>761</v>
      </c>
      <c r="C61" s="249">
        <v>11088</v>
      </c>
      <c r="D61" s="249">
        <v>10663</v>
      </c>
      <c r="E61" s="261">
        <f t="shared" si="0"/>
        <v>96.16702741702741</v>
      </c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49">
        <v>2613</v>
      </c>
      <c r="R61" s="249">
        <v>8579</v>
      </c>
      <c r="S61" s="260"/>
      <c r="T61" s="260"/>
    </row>
    <row r="62" spans="1:20" s="259" customFormat="1" ht="16.5" customHeight="1">
      <c r="A62" s="2">
        <v>51</v>
      </c>
      <c r="B62" s="266" t="s">
        <v>309</v>
      </c>
      <c r="C62" s="250">
        <v>9237</v>
      </c>
      <c r="D62" s="250">
        <v>7638</v>
      </c>
      <c r="E62" s="261">
        <f t="shared" si="0"/>
        <v>82.68918480025982</v>
      </c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50">
        <v>94</v>
      </c>
      <c r="R62" s="250">
        <v>314</v>
      </c>
      <c r="S62" s="260"/>
      <c r="T62" s="260"/>
    </row>
    <row r="63" spans="1:20" s="259" customFormat="1" ht="16.5" customHeight="1">
      <c r="A63" s="2">
        <v>52</v>
      </c>
      <c r="B63" s="265" t="s">
        <v>762</v>
      </c>
      <c r="C63" s="249">
        <v>3404</v>
      </c>
      <c r="D63" s="249">
        <v>2535</v>
      </c>
      <c r="E63" s="261">
        <f t="shared" si="0"/>
        <v>74.47121034077556</v>
      </c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49">
        <v>55</v>
      </c>
      <c r="R63" s="249">
        <v>167</v>
      </c>
      <c r="S63" s="260"/>
      <c r="T63" s="260"/>
    </row>
    <row r="64" spans="1:20" s="259" customFormat="1" ht="16.5" customHeight="1">
      <c r="A64" s="2">
        <v>53</v>
      </c>
      <c r="B64" s="265" t="s">
        <v>763</v>
      </c>
      <c r="C64" s="249">
        <v>5035</v>
      </c>
      <c r="D64" s="249">
        <v>4303</v>
      </c>
      <c r="E64" s="261">
        <f t="shared" si="0"/>
        <v>85.4617676266137</v>
      </c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49">
        <v>112</v>
      </c>
      <c r="R64" s="249">
        <v>376</v>
      </c>
      <c r="S64" s="260"/>
      <c r="T64" s="260"/>
    </row>
    <row r="65" spans="1:20" s="259" customFormat="1" ht="16.5" customHeight="1">
      <c r="A65" s="2">
        <v>54</v>
      </c>
      <c r="B65" s="265" t="s">
        <v>764</v>
      </c>
      <c r="C65" s="249">
        <v>5660</v>
      </c>
      <c r="D65" s="249">
        <v>3335</v>
      </c>
      <c r="E65" s="261">
        <f t="shared" si="0"/>
        <v>58.92226148409894</v>
      </c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49"/>
      <c r="R65" s="252"/>
      <c r="S65" s="260"/>
      <c r="T65" s="260"/>
    </row>
    <row r="66" spans="1:20" s="259" customFormat="1" ht="16.5" customHeight="1">
      <c r="A66" s="741" t="s">
        <v>571</v>
      </c>
      <c r="B66" s="742"/>
      <c r="C66" s="248">
        <f>SUM(C67:C84)</f>
        <v>120531</v>
      </c>
      <c r="D66" s="248">
        <f>SUM(D67:D84)</f>
        <v>102023</v>
      </c>
      <c r="E66" s="257">
        <f t="shared" si="0"/>
        <v>84.64461424861653</v>
      </c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48">
        <f>SUM(Q67:Q84)</f>
        <v>6767</v>
      </c>
      <c r="R66" s="248">
        <f>SUM(R67:R84)</f>
        <v>27001</v>
      </c>
      <c r="S66" s="260"/>
      <c r="T66" s="260"/>
    </row>
    <row r="67" spans="1:20" s="259" customFormat="1" ht="16.5" customHeight="1">
      <c r="A67" s="2">
        <v>55</v>
      </c>
      <c r="B67" s="2" t="s">
        <v>564</v>
      </c>
      <c r="C67" s="3">
        <v>6738</v>
      </c>
      <c r="D67" s="3">
        <v>5054</v>
      </c>
      <c r="E67" s="261">
        <f t="shared" si="0"/>
        <v>75.00742059958445</v>
      </c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"/>
      <c r="R67" s="2"/>
      <c r="S67" s="260"/>
      <c r="T67" s="260"/>
    </row>
    <row r="68" spans="1:20" s="259" customFormat="1" ht="16.5" customHeight="1">
      <c r="A68" s="2">
        <v>56</v>
      </c>
      <c r="B68" s="2" t="s">
        <v>765</v>
      </c>
      <c r="C68" s="3">
        <v>6435</v>
      </c>
      <c r="D68" s="3">
        <v>5598</v>
      </c>
      <c r="E68" s="261">
        <f t="shared" si="0"/>
        <v>86.993006993007</v>
      </c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"/>
      <c r="R68" s="2"/>
      <c r="S68" s="260"/>
      <c r="T68" s="260"/>
    </row>
    <row r="69" spans="1:20" s="259" customFormat="1" ht="16.5" customHeight="1">
      <c r="A69" s="2">
        <v>57</v>
      </c>
      <c r="B69" s="2" t="s">
        <v>286</v>
      </c>
      <c r="C69" s="3">
        <v>8974</v>
      </c>
      <c r="D69" s="3">
        <v>6641</v>
      </c>
      <c r="E69" s="261">
        <f t="shared" si="0"/>
        <v>74.00267439269</v>
      </c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">
        <v>145</v>
      </c>
      <c r="R69" s="2">
        <v>523</v>
      </c>
      <c r="S69" s="260"/>
      <c r="T69" s="260"/>
    </row>
    <row r="70" spans="1:20" s="259" customFormat="1" ht="16.5" customHeight="1">
      <c r="A70" s="2">
        <v>58</v>
      </c>
      <c r="B70" s="2" t="s">
        <v>766</v>
      </c>
      <c r="C70" s="3">
        <v>10117</v>
      </c>
      <c r="D70" s="3">
        <v>8761</v>
      </c>
      <c r="E70" s="261">
        <f t="shared" si="0"/>
        <v>86.59681723831176</v>
      </c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"/>
      <c r="R70" s="2"/>
      <c r="S70" s="260"/>
      <c r="T70" s="260"/>
    </row>
    <row r="71" spans="1:20" s="259" customFormat="1" ht="16.5" customHeight="1">
      <c r="A71" s="2">
        <v>59</v>
      </c>
      <c r="B71" s="2" t="s">
        <v>767</v>
      </c>
      <c r="C71" s="3">
        <v>4516</v>
      </c>
      <c r="D71" s="3">
        <v>3821</v>
      </c>
      <c r="E71" s="261">
        <f t="shared" si="0"/>
        <v>84.61027457927369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"/>
      <c r="R71" s="2"/>
      <c r="S71" s="260"/>
      <c r="T71" s="260"/>
    </row>
    <row r="72" spans="1:20" s="259" customFormat="1" ht="16.5" customHeight="1">
      <c r="A72" s="2">
        <v>60</v>
      </c>
      <c r="B72" s="2" t="s">
        <v>302</v>
      </c>
      <c r="C72" s="3">
        <v>5630</v>
      </c>
      <c r="D72" s="3">
        <v>5232</v>
      </c>
      <c r="E72" s="261">
        <f t="shared" si="0"/>
        <v>92.93072824156306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">
        <v>32</v>
      </c>
      <c r="R72" s="2">
        <v>112</v>
      </c>
      <c r="S72" s="260"/>
      <c r="T72" s="260"/>
    </row>
    <row r="73" spans="1:20" s="259" customFormat="1" ht="16.5" customHeight="1">
      <c r="A73" s="2">
        <v>61</v>
      </c>
      <c r="B73" s="2" t="s">
        <v>693</v>
      </c>
      <c r="C73" s="3">
        <v>5088</v>
      </c>
      <c r="D73" s="3">
        <v>4849</v>
      </c>
      <c r="E73" s="261">
        <f aca="true" t="shared" si="1" ref="E73:E119">D73/C73*100</f>
        <v>95.30267295597484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">
        <v>816</v>
      </c>
      <c r="R73" s="3">
        <v>2901</v>
      </c>
      <c r="S73" s="260"/>
      <c r="T73" s="260"/>
    </row>
    <row r="74" spans="1:20" s="259" customFormat="1" ht="16.5" customHeight="1">
      <c r="A74" s="2">
        <v>62</v>
      </c>
      <c r="B74" s="2" t="s">
        <v>299</v>
      </c>
      <c r="C74" s="3">
        <v>7218</v>
      </c>
      <c r="D74" s="3">
        <v>6207</v>
      </c>
      <c r="E74" s="261">
        <f t="shared" si="1"/>
        <v>85.99334995843724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"/>
      <c r="R74" s="2"/>
      <c r="S74" s="260"/>
      <c r="T74" s="260"/>
    </row>
    <row r="75" spans="1:20" s="259" customFormat="1" ht="16.5" customHeight="1">
      <c r="A75" s="2">
        <v>63</v>
      </c>
      <c r="B75" s="2" t="s">
        <v>768</v>
      </c>
      <c r="C75" s="3">
        <v>10248</v>
      </c>
      <c r="D75" s="3">
        <v>9223</v>
      </c>
      <c r="E75" s="261">
        <f t="shared" si="1"/>
        <v>89.99804839968775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3">
        <v>1980</v>
      </c>
      <c r="R75" s="3">
        <v>7275</v>
      </c>
      <c r="S75" s="260"/>
      <c r="T75" s="260"/>
    </row>
    <row r="76" spans="1:20" s="259" customFormat="1" ht="16.5" customHeight="1">
      <c r="A76" s="2">
        <v>64</v>
      </c>
      <c r="B76" s="2" t="s">
        <v>769</v>
      </c>
      <c r="C76" s="3">
        <v>4274</v>
      </c>
      <c r="D76" s="3">
        <v>3849</v>
      </c>
      <c r="E76" s="261">
        <f t="shared" si="1"/>
        <v>90.0561534861956</v>
      </c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">
        <v>367</v>
      </c>
      <c r="R76" s="3">
        <v>1263</v>
      </c>
      <c r="S76" s="260"/>
      <c r="T76" s="260"/>
    </row>
    <row r="77" spans="1:20" s="259" customFormat="1" ht="16.5" customHeight="1">
      <c r="A77" s="2">
        <v>65</v>
      </c>
      <c r="B77" s="2" t="s">
        <v>770</v>
      </c>
      <c r="C77" s="3">
        <v>9945</v>
      </c>
      <c r="D77" s="3">
        <v>6753</v>
      </c>
      <c r="E77" s="261">
        <f t="shared" si="1"/>
        <v>67.90346907993967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">
        <v>185</v>
      </c>
      <c r="R77" s="2">
        <v>724</v>
      </c>
      <c r="S77" s="260"/>
      <c r="T77" s="260"/>
    </row>
    <row r="78" spans="1:20" s="259" customFormat="1" ht="16.5" customHeight="1">
      <c r="A78" s="2">
        <v>66</v>
      </c>
      <c r="B78" s="2" t="s">
        <v>771</v>
      </c>
      <c r="C78" s="3">
        <v>5684</v>
      </c>
      <c r="D78" s="3">
        <v>4007</v>
      </c>
      <c r="E78" s="261">
        <f t="shared" si="1"/>
        <v>70.49612948627727</v>
      </c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"/>
      <c r="R78" s="2"/>
      <c r="S78" s="260"/>
      <c r="T78" s="260"/>
    </row>
    <row r="79" spans="1:20" s="259" customFormat="1" ht="16.5" customHeight="1">
      <c r="A79" s="2">
        <v>67</v>
      </c>
      <c r="B79" s="2" t="s">
        <v>565</v>
      </c>
      <c r="C79" s="3">
        <v>7339</v>
      </c>
      <c r="D79" s="3">
        <v>6429</v>
      </c>
      <c r="E79" s="261">
        <f t="shared" si="1"/>
        <v>87.60049053004496</v>
      </c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"/>
      <c r="R79" s="2"/>
      <c r="S79" s="260"/>
      <c r="T79" s="260"/>
    </row>
    <row r="80" spans="1:20" s="259" customFormat="1" ht="16.5" customHeight="1">
      <c r="A80" s="2">
        <v>68</v>
      </c>
      <c r="B80" s="2" t="s">
        <v>134</v>
      </c>
      <c r="C80" s="3">
        <v>5810</v>
      </c>
      <c r="D80" s="3">
        <v>4716</v>
      </c>
      <c r="E80" s="261">
        <f t="shared" si="1"/>
        <v>81.17039586919105</v>
      </c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"/>
      <c r="R80" s="2"/>
      <c r="S80" s="260"/>
      <c r="T80" s="260"/>
    </row>
    <row r="81" spans="1:20" s="259" customFormat="1" ht="16.5" customHeight="1">
      <c r="A81" s="2">
        <v>69</v>
      </c>
      <c r="B81" s="2" t="s">
        <v>772</v>
      </c>
      <c r="C81" s="3">
        <v>4892</v>
      </c>
      <c r="D81" s="3">
        <v>4124</v>
      </c>
      <c r="E81" s="261">
        <f t="shared" si="1"/>
        <v>84.30089942763695</v>
      </c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">
        <v>300</v>
      </c>
      <c r="R81" s="2">
        <v>878</v>
      </c>
      <c r="S81" s="260"/>
      <c r="T81" s="260"/>
    </row>
    <row r="82" spans="1:20" s="259" customFormat="1" ht="16.5" customHeight="1">
      <c r="A82" s="2">
        <v>70</v>
      </c>
      <c r="B82" s="2" t="s">
        <v>773</v>
      </c>
      <c r="C82" s="3">
        <v>3610</v>
      </c>
      <c r="D82" s="3">
        <v>3213</v>
      </c>
      <c r="E82" s="261">
        <f t="shared" si="1"/>
        <v>89.00277008310249</v>
      </c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">
        <v>772</v>
      </c>
      <c r="R82" s="3">
        <v>2250</v>
      </c>
      <c r="S82" s="275"/>
      <c r="T82" s="275"/>
    </row>
    <row r="83" spans="1:20" s="259" customFormat="1" ht="16.5" customHeight="1">
      <c r="A83" s="2">
        <v>71</v>
      </c>
      <c r="B83" s="2" t="s">
        <v>774</v>
      </c>
      <c r="C83" s="3">
        <v>8701</v>
      </c>
      <c r="D83" s="3">
        <v>8701</v>
      </c>
      <c r="E83" s="261">
        <f t="shared" si="1"/>
        <v>100</v>
      </c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3">
        <v>2163</v>
      </c>
      <c r="R83" s="3">
        <v>6183</v>
      </c>
      <c r="S83" s="274"/>
      <c r="T83" s="274"/>
    </row>
    <row r="84" spans="1:20" s="259" customFormat="1" ht="16.5" customHeight="1">
      <c r="A84" s="2">
        <v>72</v>
      </c>
      <c r="B84" s="2" t="s">
        <v>301</v>
      </c>
      <c r="C84" s="3">
        <v>5312</v>
      </c>
      <c r="D84" s="3">
        <v>4845</v>
      </c>
      <c r="E84" s="261">
        <f t="shared" si="1"/>
        <v>91.2085843373494</v>
      </c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">
        <v>7</v>
      </c>
      <c r="R84" s="3">
        <v>4892</v>
      </c>
      <c r="S84" s="274"/>
      <c r="T84" s="274"/>
    </row>
    <row r="85" spans="1:20" s="259" customFormat="1" ht="16.5" customHeight="1">
      <c r="A85" s="741" t="s">
        <v>728</v>
      </c>
      <c r="B85" s="742"/>
      <c r="C85" s="253">
        <f>SUM(C86:C108)</f>
        <v>192618</v>
      </c>
      <c r="D85" s="253">
        <f>SUM(D86:D108)</f>
        <v>149276</v>
      </c>
      <c r="E85" s="257">
        <f t="shared" si="1"/>
        <v>77.49846847127475</v>
      </c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53">
        <f>SUM(Q86:Q108)</f>
        <v>7501</v>
      </c>
      <c r="R85" s="253">
        <f>SUM(R86:R108)</f>
        <v>25735</v>
      </c>
      <c r="S85" s="274"/>
      <c r="T85" s="274"/>
    </row>
    <row r="86" spans="1:21" s="276" customFormat="1" ht="16.5" customHeight="1">
      <c r="A86" s="2">
        <v>73</v>
      </c>
      <c r="B86" s="2" t="s">
        <v>145</v>
      </c>
      <c r="C86" s="3">
        <v>10279</v>
      </c>
      <c r="D86" s="3">
        <v>7457</v>
      </c>
      <c r="E86" s="261">
        <f t="shared" si="1"/>
        <v>72.54596750656678</v>
      </c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3"/>
      <c r="R86" s="3"/>
      <c r="S86" s="274"/>
      <c r="T86" s="274"/>
      <c r="U86" s="259"/>
    </row>
    <row r="87" spans="1:20" s="259" customFormat="1" ht="16.5" customHeight="1">
      <c r="A87" s="2">
        <v>74</v>
      </c>
      <c r="B87" s="2" t="s">
        <v>775</v>
      </c>
      <c r="C87" s="3">
        <v>10382</v>
      </c>
      <c r="D87" s="3">
        <v>7655</v>
      </c>
      <c r="E87" s="261">
        <f t="shared" si="1"/>
        <v>73.7333847042959</v>
      </c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3"/>
      <c r="R87" s="3"/>
      <c r="S87" s="274"/>
      <c r="T87" s="274"/>
    </row>
    <row r="88" spans="1:20" s="259" customFormat="1" ht="16.5" customHeight="1">
      <c r="A88" s="2">
        <v>75</v>
      </c>
      <c r="B88" s="2" t="s">
        <v>776</v>
      </c>
      <c r="C88" s="277">
        <v>6987</v>
      </c>
      <c r="D88" s="277">
        <v>6090</v>
      </c>
      <c r="E88" s="261">
        <f t="shared" si="1"/>
        <v>87.16187204808931</v>
      </c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77"/>
      <c r="R88" s="277"/>
      <c r="S88" s="258"/>
      <c r="T88" s="258"/>
    </row>
    <row r="89" spans="1:20" s="259" customFormat="1" ht="16.5" customHeight="1">
      <c r="A89" s="2">
        <v>76</v>
      </c>
      <c r="B89" s="2" t="s">
        <v>777</v>
      </c>
      <c r="C89" s="3">
        <v>10865</v>
      </c>
      <c r="D89" s="3">
        <v>8779</v>
      </c>
      <c r="E89" s="261">
        <f t="shared" si="1"/>
        <v>80.80073630924988</v>
      </c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3"/>
      <c r="R89" s="3"/>
      <c r="S89" s="260"/>
      <c r="T89" s="260"/>
    </row>
    <row r="90" spans="1:20" s="259" customFormat="1" ht="16.5" customHeight="1">
      <c r="A90" s="2">
        <v>77</v>
      </c>
      <c r="B90" s="2" t="s">
        <v>778</v>
      </c>
      <c r="C90" s="3">
        <v>9561</v>
      </c>
      <c r="D90" s="3">
        <v>8359</v>
      </c>
      <c r="E90" s="261">
        <f t="shared" si="1"/>
        <v>87.42809329568037</v>
      </c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3"/>
      <c r="R90" s="3"/>
      <c r="S90" s="260"/>
      <c r="T90" s="260"/>
    </row>
    <row r="91" spans="1:20" s="259" customFormat="1" ht="16.5" customHeight="1">
      <c r="A91" s="2">
        <v>78</v>
      </c>
      <c r="B91" s="2" t="s">
        <v>729</v>
      </c>
      <c r="C91" s="3">
        <v>5320</v>
      </c>
      <c r="D91" s="3">
        <v>4920</v>
      </c>
      <c r="E91" s="261">
        <f t="shared" si="1"/>
        <v>92.4812030075188</v>
      </c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3">
        <v>1567</v>
      </c>
      <c r="R91" s="3">
        <v>4897</v>
      </c>
      <c r="S91" s="260"/>
      <c r="T91" s="260"/>
    </row>
    <row r="92" spans="1:20" s="259" customFormat="1" ht="16.5" customHeight="1">
      <c r="A92" s="2">
        <v>79</v>
      </c>
      <c r="B92" s="2" t="s">
        <v>304</v>
      </c>
      <c r="C92" s="3">
        <v>5911</v>
      </c>
      <c r="D92" s="3">
        <v>5437</v>
      </c>
      <c r="E92" s="261">
        <f t="shared" si="1"/>
        <v>91.9810522754187</v>
      </c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3">
        <v>519</v>
      </c>
      <c r="R92" s="3">
        <v>1805</v>
      </c>
      <c r="S92" s="260"/>
      <c r="T92" s="260"/>
    </row>
    <row r="93" spans="1:20" s="259" customFormat="1" ht="16.5" customHeight="1">
      <c r="A93" s="2">
        <v>80</v>
      </c>
      <c r="B93" s="2" t="s">
        <v>779</v>
      </c>
      <c r="C93" s="3">
        <v>10943</v>
      </c>
      <c r="D93" s="3">
        <v>8025</v>
      </c>
      <c r="E93" s="261">
        <f t="shared" si="1"/>
        <v>73.33455176825368</v>
      </c>
      <c r="F93" s="278"/>
      <c r="G93" s="278"/>
      <c r="H93" s="279"/>
      <c r="I93" s="260"/>
      <c r="J93" s="260"/>
      <c r="K93" s="260"/>
      <c r="L93" s="278"/>
      <c r="M93" s="278"/>
      <c r="N93" s="278"/>
      <c r="O93" s="278"/>
      <c r="P93" s="278"/>
      <c r="Q93" s="3"/>
      <c r="R93" s="3"/>
      <c r="S93" s="260"/>
      <c r="T93" s="260"/>
    </row>
    <row r="94" spans="1:20" s="259" customFormat="1" ht="16.5" customHeight="1">
      <c r="A94" s="2">
        <v>81</v>
      </c>
      <c r="B94" s="2" t="s">
        <v>780</v>
      </c>
      <c r="C94" s="3">
        <v>9589</v>
      </c>
      <c r="D94" s="3">
        <v>6820</v>
      </c>
      <c r="E94" s="261">
        <f t="shared" si="1"/>
        <v>71.12316195640838</v>
      </c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3"/>
      <c r="R94" s="3"/>
      <c r="S94" s="260"/>
      <c r="T94" s="260"/>
    </row>
    <row r="95" spans="1:20" s="259" customFormat="1" ht="16.5" customHeight="1">
      <c r="A95" s="2">
        <v>82</v>
      </c>
      <c r="B95" s="2" t="s">
        <v>305</v>
      </c>
      <c r="C95" s="3">
        <v>5368</v>
      </c>
      <c r="D95" s="3">
        <v>4240</v>
      </c>
      <c r="E95" s="261">
        <f t="shared" si="1"/>
        <v>78.9865871833085</v>
      </c>
      <c r="F95" s="278"/>
      <c r="G95" s="278"/>
      <c r="H95" s="278"/>
      <c r="I95" s="260"/>
      <c r="J95" s="260"/>
      <c r="K95" s="260"/>
      <c r="L95" s="278"/>
      <c r="M95" s="278"/>
      <c r="N95" s="278"/>
      <c r="O95" s="278"/>
      <c r="P95" s="278"/>
      <c r="Q95" s="3"/>
      <c r="R95" s="3"/>
      <c r="S95" s="278"/>
      <c r="T95" s="278"/>
    </row>
    <row r="96" spans="1:20" s="259" customFormat="1" ht="16.5" customHeight="1">
      <c r="A96" s="2">
        <v>83</v>
      </c>
      <c r="B96" s="2" t="s">
        <v>781</v>
      </c>
      <c r="C96" s="277">
        <v>5730</v>
      </c>
      <c r="D96" s="277">
        <v>3092</v>
      </c>
      <c r="E96" s="261">
        <f t="shared" si="1"/>
        <v>53.961605584642236</v>
      </c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77"/>
      <c r="R96" s="277"/>
      <c r="S96" s="260"/>
      <c r="T96" s="260"/>
    </row>
    <row r="97" spans="1:20" s="259" customFormat="1" ht="16.5" customHeight="1">
      <c r="A97" s="2">
        <v>84</v>
      </c>
      <c r="B97" s="2" t="s">
        <v>782</v>
      </c>
      <c r="C97" s="277">
        <v>6354</v>
      </c>
      <c r="D97" s="277">
        <v>4719</v>
      </c>
      <c r="E97" s="261">
        <f t="shared" si="1"/>
        <v>74.2681775259679</v>
      </c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77">
        <v>430</v>
      </c>
      <c r="R97" s="277">
        <v>1075</v>
      </c>
      <c r="S97" s="260"/>
      <c r="T97" s="260"/>
    </row>
    <row r="98" spans="1:20" s="259" customFormat="1" ht="16.5" customHeight="1">
      <c r="A98" s="2">
        <v>85</v>
      </c>
      <c r="B98" s="2" t="s">
        <v>567</v>
      </c>
      <c r="C98" s="3">
        <v>6656</v>
      </c>
      <c r="D98" s="3">
        <v>6456</v>
      </c>
      <c r="E98" s="261">
        <f t="shared" si="1"/>
        <v>96.9951923076923</v>
      </c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3">
        <v>213</v>
      </c>
      <c r="R98" s="3">
        <v>800</v>
      </c>
      <c r="S98" s="260"/>
      <c r="T98" s="260"/>
    </row>
    <row r="99" spans="1:20" s="259" customFormat="1" ht="16.5" customHeight="1">
      <c r="A99" s="2">
        <v>86</v>
      </c>
      <c r="B99" s="2" t="s">
        <v>307</v>
      </c>
      <c r="C99" s="3">
        <v>9731</v>
      </c>
      <c r="D99" s="3">
        <v>7688</v>
      </c>
      <c r="E99" s="261">
        <f t="shared" si="1"/>
        <v>79.0052409824273</v>
      </c>
      <c r="F99" s="278"/>
      <c r="G99" s="278"/>
      <c r="H99" s="278"/>
      <c r="I99" s="260"/>
      <c r="J99" s="260"/>
      <c r="K99" s="260"/>
      <c r="L99" s="278"/>
      <c r="M99" s="278"/>
      <c r="N99" s="278"/>
      <c r="O99" s="278"/>
      <c r="P99" s="278"/>
      <c r="Q99" s="3"/>
      <c r="R99" s="3"/>
      <c r="S99" s="278"/>
      <c r="T99" s="278"/>
    </row>
    <row r="100" spans="1:20" s="259" customFormat="1" ht="16.5" customHeight="1">
      <c r="A100" s="2">
        <v>87</v>
      </c>
      <c r="B100" s="2" t="s">
        <v>303</v>
      </c>
      <c r="C100" s="3">
        <v>14946</v>
      </c>
      <c r="D100" s="3">
        <v>11005</v>
      </c>
      <c r="E100" s="261">
        <f t="shared" si="1"/>
        <v>73.63174093402917</v>
      </c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3">
        <v>2672</v>
      </c>
      <c r="R100" s="3">
        <v>9808</v>
      </c>
      <c r="S100" s="260"/>
      <c r="T100" s="260"/>
    </row>
    <row r="101" spans="1:20" s="259" customFormat="1" ht="16.5" customHeight="1">
      <c r="A101" s="2">
        <v>88</v>
      </c>
      <c r="B101" s="2" t="s">
        <v>783</v>
      </c>
      <c r="C101" s="3">
        <v>9418</v>
      </c>
      <c r="D101" s="3">
        <v>8060</v>
      </c>
      <c r="E101" s="261">
        <f t="shared" si="1"/>
        <v>85.5808027181992</v>
      </c>
      <c r="F101" s="278"/>
      <c r="G101" s="278"/>
      <c r="H101" s="278"/>
      <c r="I101" s="260"/>
      <c r="J101" s="260"/>
      <c r="K101" s="260"/>
      <c r="L101" s="278"/>
      <c r="M101" s="278"/>
      <c r="N101" s="278"/>
      <c r="O101" s="278"/>
      <c r="P101" s="278"/>
      <c r="Q101" s="3">
        <v>2100</v>
      </c>
      <c r="R101" s="3">
        <v>7350</v>
      </c>
      <c r="S101" s="278"/>
      <c r="T101" s="278"/>
    </row>
    <row r="102" spans="1:20" s="259" customFormat="1" ht="16.5" customHeight="1">
      <c r="A102" s="2">
        <v>89</v>
      </c>
      <c r="B102" s="2" t="s">
        <v>784</v>
      </c>
      <c r="C102" s="3">
        <v>8874</v>
      </c>
      <c r="D102" s="3">
        <v>6656</v>
      </c>
      <c r="E102" s="261">
        <f t="shared" si="1"/>
        <v>75.00563443768313</v>
      </c>
      <c r="F102" s="278"/>
      <c r="G102" s="278"/>
      <c r="H102" s="278"/>
      <c r="I102" s="260"/>
      <c r="J102" s="260"/>
      <c r="K102" s="260"/>
      <c r="L102" s="278"/>
      <c r="M102" s="278"/>
      <c r="N102" s="278"/>
      <c r="O102" s="278"/>
      <c r="P102" s="278"/>
      <c r="Q102" s="3"/>
      <c r="R102" s="3"/>
      <c r="S102" s="278"/>
      <c r="T102" s="278"/>
    </row>
    <row r="103" spans="1:20" s="259" customFormat="1" ht="16.5" customHeight="1">
      <c r="A103" s="2">
        <v>90</v>
      </c>
      <c r="B103" s="2" t="s">
        <v>785</v>
      </c>
      <c r="C103" s="3">
        <v>3578</v>
      </c>
      <c r="D103" s="3">
        <v>2820</v>
      </c>
      <c r="E103" s="261">
        <f t="shared" si="1"/>
        <v>78.81498043599777</v>
      </c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3"/>
      <c r="R103" s="3"/>
      <c r="S103" s="258"/>
      <c r="T103" s="258"/>
    </row>
    <row r="104" spans="1:20" s="259" customFormat="1" ht="16.5" customHeight="1">
      <c r="A104" s="2">
        <v>91</v>
      </c>
      <c r="B104" s="2" t="s">
        <v>786</v>
      </c>
      <c r="C104" s="3">
        <v>4521</v>
      </c>
      <c r="D104" s="3">
        <v>3621</v>
      </c>
      <c r="E104" s="261">
        <f t="shared" si="1"/>
        <v>80.09289980092899</v>
      </c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3"/>
      <c r="R104" s="3"/>
      <c r="S104" s="260"/>
      <c r="T104" s="260"/>
    </row>
    <row r="105" spans="1:20" s="259" customFormat="1" ht="16.5" customHeight="1">
      <c r="A105" s="2">
        <v>92</v>
      </c>
      <c r="B105" s="2" t="s">
        <v>787</v>
      </c>
      <c r="C105" s="277">
        <v>12189</v>
      </c>
      <c r="D105" s="277">
        <v>9970</v>
      </c>
      <c r="E105" s="261">
        <f t="shared" si="1"/>
        <v>81.79506112068258</v>
      </c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77"/>
      <c r="R105" s="277"/>
      <c r="S105" s="260"/>
      <c r="T105" s="260"/>
    </row>
    <row r="106" spans="1:20" s="259" customFormat="1" ht="16.5" customHeight="1">
      <c r="A106" s="2">
        <v>93</v>
      </c>
      <c r="B106" s="2" t="s">
        <v>788</v>
      </c>
      <c r="C106" s="3">
        <v>6082</v>
      </c>
      <c r="D106" s="3">
        <v>3107</v>
      </c>
      <c r="E106" s="261">
        <f t="shared" si="1"/>
        <v>51.085169352186774</v>
      </c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3">
        <v>0</v>
      </c>
      <c r="R106" s="3">
        <v>0</v>
      </c>
      <c r="S106" s="260"/>
      <c r="T106" s="260"/>
    </row>
    <row r="107" spans="1:20" s="259" customFormat="1" ht="16.5" customHeight="1">
      <c r="A107" s="2">
        <v>94</v>
      </c>
      <c r="B107" s="2" t="s">
        <v>789</v>
      </c>
      <c r="C107" s="277">
        <v>9988</v>
      </c>
      <c r="D107" s="277">
        <v>8289</v>
      </c>
      <c r="E107" s="261">
        <f t="shared" si="1"/>
        <v>82.989587505006</v>
      </c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77"/>
      <c r="R107" s="277"/>
      <c r="S107" s="260"/>
      <c r="T107" s="260"/>
    </row>
    <row r="108" spans="1:20" s="259" customFormat="1" ht="16.5" customHeight="1">
      <c r="A108" s="2">
        <v>95</v>
      </c>
      <c r="B108" s="2" t="s">
        <v>790</v>
      </c>
      <c r="C108" s="3">
        <v>9346</v>
      </c>
      <c r="D108" s="3">
        <v>6011</v>
      </c>
      <c r="E108" s="261">
        <f t="shared" si="1"/>
        <v>64.31628504172909</v>
      </c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2"/>
      <c r="Q108" s="3"/>
      <c r="R108" s="3"/>
      <c r="S108" s="260"/>
      <c r="T108" s="260"/>
    </row>
    <row r="109" spans="1:20" s="259" customFormat="1" ht="16.5" customHeight="1">
      <c r="A109" s="741" t="s">
        <v>735</v>
      </c>
      <c r="B109" s="742"/>
      <c r="C109" s="171">
        <f>SUM(C110:C119)</f>
        <v>55930</v>
      </c>
      <c r="D109" s="171">
        <f>SUM(D110:D119)</f>
        <v>44061</v>
      </c>
      <c r="E109" s="257">
        <f t="shared" si="1"/>
        <v>78.77883068120866</v>
      </c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171">
        <f>SUM(Q110:Q119)</f>
        <v>668</v>
      </c>
      <c r="R109" s="171">
        <f>SUM(R110:R119)</f>
        <v>2352</v>
      </c>
      <c r="S109" s="260"/>
      <c r="T109" s="260"/>
    </row>
    <row r="110" spans="1:20" s="259" customFormat="1" ht="16.5" customHeight="1">
      <c r="A110" s="2">
        <v>96</v>
      </c>
      <c r="B110" s="254" t="s">
        <v>651</v>
      </c>
      <c r="C110" s="255">
        <v>5267</v>
      </c>
      <c r="D110" s="255">
        <v>4010</v>
      </c>
      <c r="E110" s="261">
        <f t="shared" si="1"/>
        <v>76.13442187203341</v>
      </c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55"/>
      <c r="R110" s="255"/>
      <c r="S110" s="260"/>
      <c r="T110" s="260"/>
    </row>
    <row r="111" spans="1:20" s="259" customFormat="1" ht="16.5" customHeight="1">
      <c r="A111" s="2">
        <v>97</v>
      </c>
      <c r="B111" s="254" t="s">
        <v>652</v>
      </c>
      <c r="C111" s="255">
        <v>3892</v>
      </c>
      <c r="D111" s="255">
        <v>3384</v>
      </c>
      <c r="E111" s="261">
        <f t="shared" si="1"/>
        <v>86.9475847893114</v>
      </c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55"/>
      <c r="R111" s="255"/>
      <c r="S111" s="260"/>
      <c r="T111" s="260"/>
    </row>
    <row r="112" spans="1:20" s="259" customFormat="1" ht="16.5" customHeight="1">
      <c r="A112" s="2">
        <v>98</v>
      </c>
      <c r="B112" s="254" t="s">
        <v>653</v>
      </c>
      <c r="C112" s="255">
        <v>4303</v>
      </c>
      <c r="D112" s="255">
        <v>2559</v>
      </c>
      <c r="E112" s="261">
        <f t="shared" si="1"/>
        <v>59.47013711364164</v>
      </c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55"/>
      <c r="R112" s="255"/>
      <c r="S112" s="260"/>
      <c r="T112" s="260"/>
    </row>
    <row r="113" spans="1:20" s="259" customFormat="1" ht="16.5" customHeight="1">
      <c r="A113" s="2">
        <v>99</v>
      </c>
      <c r="B113" s="254" t="s">
        <v>791</v>
      </c>
      <c r="C113" s="255">
        <v>3814</v>
      </c>
      <c r="D113" s="255">
        <v>3286</v>
      </c>
      <c r="E113" s="261">
        <f t="shared" si="1"/>
        <v>86.15626638699528</v>
      </c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55"/>
      <c r="R113" s="255"/>
      <c r="S113" s="260"/>
      <c r="T113" s="260"/>
    </row>
    <row r="114" spans="1:20" s="259" customFormat="1" ht="16.5" customHeight="1">
      <c r="A114" s="2">
        <v>100</v>
      </c>
      <c r="B114" s="254" t="s">
        <v>654</v>
      </c>
      <c r="C114" s="255">
        <v>5326</v>
      </c>
      <c r="D114" s="255">
        <v>4432</v>
      </c>
      <c r="E114" s="261">
        <f t="shared" si="1"/>
        <v>83.21441982726249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55"/>
      <c r="R114" s="255"/>
      <c r="S114" s="260"/>
      <c r="T114" s="260"/>
    </row>
    <row r="115" spans="1:20" s="259" customFormat="1" ht="16.5" customHeight="1">
      <c r="A115" s="2">
        <v>101</v>
      </c>
      <c r="B115" s="254" t="s">
        <v>649</v>
      </c>
      <c r="C115" s="255">
        <v>6268</v>
      </c>
      <c r="D115" s="255">
        <v>5551</v>
      </c>
      <c r="E115" s="261">
        <f t="shared" si="1"/>
        <v>88.5609444798979</v>
      </c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55">
        <v>72</v>
      </c>
      <c r="R115" s="255">
        <v>269</v>
      </c>
      <c r="S115" s="260"/>
      <c r="T115" s="260"/>
    </row>
    <row r="116" spans="1:20" s="259" customFormat="1" ht="16.5" customHeight="1">
      <c r="A116" s="2">
        <v>102</v>
      </c>
      <c r="B116" s="254" t="s">
        <v>219</v>
      </c>
      <c r="C116" s="255">
        <v>8116</v>
      </c>
      <c r="D116" s="255">
        <v>5032</v>
      </c>
      <c r="E116" s="261">
        <f t="shared" si="1"/>
        <v>62.00098570724495</v>
      </c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55"/>
      <c r="R116" s="255"/>
      <c r="S116" s="260"/>
      <c r="T116" s="260"/>
    </row>
    <row r="117" spans="1:20" s="259" customFormat="1" ht="16.5" customHeight="1">
      <c r="A117" s="2">
        <v>103</v>
      </c>
      <c r="B117" s="254" t="s">
        <v>792</v>
      </c>
      <c r="C117" s="255">
        <v>5370</v>
      </c>
      <c r="D117" s="255">
        <v>4660</v>
      </c>
      <c r="E117" s="261">
        <f t="shared" si="1"/>
        <v>86.77839851024208</v>
      </c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56"/>
      <c r="R117" s="256"/>
      <c r="S117" s="260"/>
      <c r="T117" s="260"/>
    </row>
    <row r="118" spans="1:20" s="259" customFormat="1" ht="16.5" customHeight="1">
      <c r="A118" s="2">
        <v>104</v>
      </c>
      <c r="B118" s="254" t="s">
        <v>549</v>
      </c>
      <c r="C118" s="255">
        <v>7555</v>
      </c>
      <c r="D118" s="255">
        <v>5666</v>
      </c>
      <c r="E118" s="261">
        <f t="shared" si="1"/>
        <v>74.99669093315686</v>
      </c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55">
        <v>596</v>
      </c>
      <c r="R118" s="255">
        <v>2083</v>
      </c>
      <c r="S118" s="260"/>
      <c r="T118" s="260"/>
    </row>
    <row r="119" spans="1:20" s="259" customFormat="1" ht="16.5" customHeight="1">
      <c r="A119" s="2">
        <v>105</v>
      </c>
      <c r="B119" s="254" t="s">
        <v>793</v>
      </c>
      <c r="C119" s="255">
        <v>6019</v>
      </c>
      <c r="D119" s="255">
        <v>5481</v>
      </c>
      <c r="E119" s="261">
        <f t="shared" si="1"/>
        <v>91.0616381458714</v>
      </c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55"/>
      <c r="R119" s="255"/>
      <c r="S119" s="260"/>
      <c r="T119" s="260"/>
    </row>
    <row r="120" spans="1:20" s="259" customFormat="1" ht="16.5" customHeight="1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</row>
    <row r="121" spans="1:20" s="259" customFormat="1" ht="16.5" customHeight="1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</row>
    <row r="122" spans="1:20" s="259" customFormat="1" ht="16.5" customHeight="1">
      <c r="A122" s="281"/>
      <c r="B122" s="281"/>
      <c r="C122" s="282"/>
      <c r="D122" s="282"/>
      <c r="E122" s="283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</row>
    <row r="123" spans="1:20" s="259" customFormat="1" ht="25.5" customHeight="1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</row>
    <row r="124" spans="2:20" ht="22.5" customHeight="1">
      <c r="B124" s="190"/>
      <c r="C124" s="191"/>
      <c r="D124" s="191"/>
      <c r="E124" s="192"/>
      <c r="F124" s="192"/>
      <c r="G124" s="191"/>
      <c r="H124" s="191"/>
      <c r="I124" s="191"/>
      <c r="J124" s="191"/>
      <c r="K124" s="191"/>
      <c r="L124" s="191"/>
      <c r="M124" s="191"/>
      <c r="N124" s="191"/>
      <c r="O124" s="192"/>
      <c r="P124" s="191"/>
      <c r="Q124" s="192"/>
      <c r="R124" s="191"/>
      <c r="S124" s="191"/>
      <c r="T124" s="191"/>
    </row>
    <row r="125" spans="1:20" ht="22.5" customHeight="1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</row>
    <row r="126" spans="1:20" ht="22.5" customHeight="1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</row>
    <row r="127" spans="1:20" ht="22.5" customHeight="1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</row>
    <row r="128" spans="1:20" ht="22.5" customHeight="1">
      <c r="A128" s="193"/>
      <c r="B128" s="193"/>
      <c r="C128" s="193"/>
      <c r="D128" s="193"/>
      <c r="E128" s="194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</row>
    <row r="129" spans="1:20" ht="22.5" customHeight="1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</row>
    <row r="130" spans="1:20" ht="25.5" customHeight="1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</row>
    <row r="131" spans="1:20" ht="25.5" customHeight="1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</row>
    <row r="132" spans="1:20" ht="25.5" customHeigh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</row>
    <row r="133" spans="1:20" ht="25.5" customHeight="1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</row>
    <row r="134" spans="1:20" ht="25.5" customHeight="1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</row>
    <row r="135" ht="25.5" customHeight="1"/>
    <row r="136" ht="25.5" customHeight="1"/>
  </sheetData>
  <mergeCells count="19">
    <mergeCell ref="A109:B109"/>
    <mergeCell ref="A1:T1"/>
    <mergeCell ref="A2:T2"/>
    <mergeCell ref="A29:B29"/>
    <mergeCell ref="A48:B48"/>
    <mergeCell ref="A66:B66"/>
    <mergeCell ref="A85:B85"/>
    <mergeCell ref="Q5:R5"/>
    <mergeCell ref="S5:T5"/>
    <mergeCell ref="A8:B8"/>
    <mergeCell ref="A9:B9"/>
    <mergeCell ref="A5:A6"/>
    <mergeCell ref="B5:B6"/>
    <mergeCell ref="C5:C6"/>
    <mergeCell ref="O5:P5"/>
    <mergeCell ref="D5:E5"/>
    <mergeCell ref="F5:H5"/>
    <mergeCell ref="I5:K5"/>
    <mergeCell ref="L5:N5"/>
  </mergeCells>
  <printOptions/>
  <pageMargins left="0.23" right="0.21" top="0.34" bottom="0.29" header="0.28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selection activeCell="A2" sqref="A2:P2"/>
    </sheetView>
  </sheetViews>
  <sheetFormatPr defaultColWidth="9.140625" defaultRowHeight="12.75"/>
  <cols>
    <col min="1" max="1" width="5.421875" style="231" customWidth="1"/>
    <col min="2" max="2" width="17.28125" style="229" customWidth="1"/>
    <col min="3" max="3" width="7.421875" style="231" customWidth="1"/>
    <col min="4" max="4" width="11.00390625" style="231" customWidth="1"/>
    <col min="5" max="5" width="11.8515625" style="231" customWidth="1"/>
    <col min="6" max="6" width="9.421875" style="231" customWidth="1"/>
    <col min="7" max="7" width="10.57421875" style="231" customWidth="1"/>
    <col min="8" max="8" width="8.140625" style="231" customWidth="1"/>
    <col min="9" max="9" width="7.8515625" style="231" customWidth="1"/>
    <col min="10" max="10" width="8.00390625" style="231" customWidth="1"/>
    <col min="11" max="11" width="8.28125" style="231" customWidth="1"/>
    <col min="12" max="12" width="8.140625" style="231" customWidth="1"/>
    <col min="13" max="13" width="8.57421875" style="231" customWidth="1"/>
    <col min="14" max="14" width="8.00390625" style="231" customWidth="1"/>
    <col min="15" max="15" width="7.57421875" style="231" customWidth="1"/>
    <col min="16" max="16" width="9.00390625" style="231" customWidth="1"/>
    <col min="17" max="17" width="8.421875" style="228" customWidth="1"/>
    <col min="18" max="16384" width="9.140625" style="187" customWidth="1"/>
  </cols>
  <sheetData>
    <row r="1" spans="1:16" ht="15.75" customHeight="1">
      <c r="A1" s="743" t="s">
        <v>656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</row>
    <row r="2" spans="1:16" ht="16.5" customHeight="1">
      <c r="A2" s="763" t="s">
        <v>850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</row>
    <row r="3" spans="1:16" ht="7.5" customHeight="1">
      <c r="A3" s="235"/>
      <c r="B3" s="235"/>
      <c r="C3" s="235"/>
      <c r="D3" s="235"/>
      <c r="E3" s="235"/>
      <c r="F3" s="235"/>
      <c r="G3" s="235"/>
      <c r="H3" s="285"/>
      <c r="I3" s="285"/>
      <c r="J3" s="285"/>
      <c r="K3" s="285"/>
      <c r="L3" s="285"/>
      <c r="M3" s="285"/>
      <c r="N3" s="285"/>
      <c r="O3" s="285"/>
      <c r="P3" s="285"/>
    </row>
    <row r="4" spans="1:17" ht="30" customHeight="1">
      <c r="A4" s="750" t="s">
        <v>504</v>
      </c>
      <c r="B4" s="750" t="s">
        <v>478</v>
      </c>
      <c r="C4" s="750" t="s">
        <v>505</v>
      </c>
      <c r="D4" s="756" t="s">
        <v>506</v>
      </c>
      <c r="E4" s="757"/>
      <c r="F4" s="757"/>
      <c r="G4" s="758"/>
      <c r="H4" s="759" t="s">
        <v>507</v>
      </c>
      <c r="I4" s="760"/>
      <c r="J4" s="760"/>
      <c r="K4" s="760"/>
      <c r="L4" s="760"/>
      <c r="M4" s="760"/>
      <c r="N4" s="760"/>
      <c r="O4" s="760"/>
      <c r="P4" s="761"/>
      <c r="Q4" s="232"/>
    </row>
    <row r="5" spans="1:17" ht="22.5" customHeight="1">
      <c r="A5" s="751"/>
      <c r="B5" s="753"/>
      <c r="C5" s="751"/>
      <c r="D5" s="750" t="s">
        <v>508</v>
      </c>
      <c r="E5" s="750" t="s">
        <v>509</v>
      </c>
      <c r="F5" s="750" t="s">
        <v>510</v>
      </c>
      <c r="G5" s="750" t="s">
        <v>511</v>
      </c>
      <c r="H5" s="764" t="s">
        <v>512</v>
      </c>
      <c r="I5" s="765"/>
      <c r="J5" s="764" t="s">
        <v>513</v>
      </c>
      <c r="K5" s="765"/>
      <c r="L5" s="764" t="s">
        <v>514</v>
      </c>
      <c r="M5" s="765"/>
      <c r="N5" s="764" t="s">
        <v>515</v>
      </c>
      <c r="O5" s="765"/>
      <c r="P5" s="233" t="s">
        <v>516</v>
      </c>
      <c r="Q5" s="234"/>
    </row>
    <row r="6" spans="1:17" ht="27" customHeight="1">
      <c r="A6" s="752"/>
      <c r="B6" s="754"/>
      <c r="C6" s="755"/>
      <c r="D6" s="755"/>
      <c r="E6" s="755"/>
      <c r="F6" s="755"/>
      <c r="G6" s="755"/>
      <c r="H6" s="233" t="s">
        <v>278</v>
      </c>
      <c r="I6" s="233" t="s">
        <v>517</v>
      </c>
      <c r="J6" s="233" t="s">
        <v>278</v>
      </c>
      <c r="K6" s="233" t="s">
        <v>517</v>
      </c>
      <c r="L6" s="233" t="s">
        <v>278</v>
      </c>
      <c r="M6" s="233" t="s">
        <v>517</v>
      </c>
      <c r="N6" s="233" t="s">
        <v>278</v>
      </c>
      <c r="O6" s="233" t="s">
        <v>517</v>
      </c>
      <c r="P6" s="233" t="s">
        <v>278</v>
      </c>
      <c r="Q6" s="234"/>
    </row>
    <row r="7" spans="1:17" ht="18" customHeight="1">
      <c r="A7" s="307">
        <v>1</v>
      </c>
      <c r="B7" s="308">
        <v>2</v>
      </c>
      <c r="C7" s="307">
        <v>3</v>
      </c>
      <c r="D7" s="307">
        <v>4</v>
      </c>
      <c r="E7" s="308">
        <v>5</v>
      </c>
      <c r="F7" s="307">
        <v>6</v>
      </c>
      <c r="G7" s="307">
        <v>7</v>
      </c>
      <c r="H7" s="308">
        <v>8</v>
      </c>
      <c r="I7" s="307">
        <v>9</v>
      </c>
      <c r="J7" s="307">
        <v>10</v>
      </c>
      <c r="K7" s="308">
        <v>11</v>
      </c>
      <c r="L7" s="307">
        <v>12</v>
      </c>
      <c r="M7" s="307">
        <v>13</v>
      </c>
      <c r="N7" s="308">
        <v>14</v>
      </c>
      <c r="O7" s="307">
        <v>15</v>
      </c>
      <c r="P7" s="307">
        <v>16</v>
      </c>
      <c r="Q7" s="309"/>
    </row>
    <row r="8" spans="1:17" s="289" customFormat="1" ht="18" customHeight="1">
      <c r="A8" s="275" t="s">
        <v>41</v>
      </c>
      <c r="B8" s="286" t="s">
        <v>571</v>
      </c>
      <c r="C8" s="275">
        <f>SUM(C9:C21)</f>
        <v>24407</v>
      </c>
      <c r="D8" s="275">
        <f aca="true" t="shared" si="0" ref="D8:P8">SUM(D9:D21)</f>
        <v>14072</v>
      </c>
      <c r="E8" s="287">
        <f>D8/C8*100</f>
        <v>57.65559060925144</v>
      </c>
      <c r="F8" s="275">
        <f t="shared" si="0"/>
        <v>13079</v>
      </c>
      <c r="G8" s="287">
        <f>F8/C8*100</f>
        <v>53.58708567214324</v>
      </c>
      <c r="H8" s="275">
        <f t="shared" si="0"/>
        <v>10727</v>
      </c>
      <c r="I8" s="275">
        <f t="shared" si="0"/>
        <v>10612</v>
      </c>
      <c r="J8" s="275">
        <f t="shared" si="0"/>
        <v>1235</v>
      </c>
      <c r="K8" s="275">
        <f t="shared" si="0"/>
        <v>833</v>
      </c>
      <c r="L8" s="275">
        <f t="shared" si="0"/>
        <v>2594</v>
      </c>
      <c r="M8" s="275">
        <f t="shared" si="0"/>
        <v>1235</v>
      </c>
      <c r="N8" s="275">
        <f t="shared" si="0"/>
        <v>203</v>
      </c>
      <c r="O8" s="275">
        <f t="shared" si="0"/>
        <v>35</v>
      </c>
      <c r="P8" s="275">
        <f t="shared" si="0"/>
        <v>7999</v>
      </c>
      <c r="Q8" s="288"/>
    </row>
    <row r="9" spans="1:17" s="228" customFormat="1" ht="18" customHeight="1">
      <c r="A9" s="274">
        <v>1</v>
      </c>
      <c r="B9" s="265" t="s">
        <v>550</v>
      </c>
      <c r="C9" s="6">
        <v>1368</v>
      </c>
      <c r="D9" s="6">
        <v>1229</v>
      </c>
      <c r="E9" s="290">
        <f>D9/C9*100</f>
        <v>89.8391812865497</v>
      </c>
      <c r="F9" s="6">
        <v>1164</v>
      </c>
      <c r="G9" s="290">
        <f aca="true" t="shared" si="1" ref="G9:G26">F9/C9*100</f>
        <v>85.08771929824562</v>
      </c>
      <c r="H9" s="6">
        <v>794</v>
      </c>
      <c r="I9" s="6">
        <v>794</v>
      </c>
      <c r="J9" s="6">
        <v>202</v>
      </c>
      <c r="K9" s="6">
        <v>202</v>
      </c>
      <c r="L9" s="6">
        <v>168</v>
      </c>
      <c r="M9" s="6">
        <v>167</v>
      </c>
      <c r="N9" s="6"/>
      <c r="O9" s="6"/>
      <c r="P9" s="6">
        <v>158</v>
      </c>
      <c r="Q9" s="291"/>
    </row>
    <row r="10" spans="1:17" s="228" customFormat="1" ht="18" customHeight="1">
      <c r="A10" s="274">
        <v>2</v>
      </c>
      <c r="B10" s="265" t="s">
        <v>572</v>
      </c>
      <c r="C10" s="6">
        <v>1512</v>
      </c>
      <c r="D10" s="6">
        <v>1151</v>
      </c>
      <c r="E10" s="290">
        <f aca="true" t="shared" si="2" ref="E10:E26">D10/C10*100</f>
        <v>76.12433862433863</v>
      </c>
      <c r="F10" s="6">
        <v>1035</v>
      </c>
      <c r="G10" s="290">
        <f t="shared" si="1"/>
        <v>68.45238095238095</v>
      </c>
      <c r="H10" s="6">
        <v>625</v>
      </c>
      <c r="I10" s="6">
        <v>625</v>
      </c>
      <c r="J10" s="6">
        <v>41</v>
      </c>
      <c r="K10" s="6">
        <v>40</v>
      </c>
      <c r="L10" s="6">
        <v>437</v>
      </c>
      <c r="M10" s="6">
        <v>370</v>
      </c>
      <c r="N10" s="6"/>
      <c r="O10" s="6"/>
      <c r="P10" s="6">
        <v>274</v>
      </c>
      <c r="Q10" s="291"/>
    </row>
    <row r="11" spans="1:17" s="228" customFormat="1" ht="18" customHeight="1">
      <c r="A11" s="274">
        <v>3</v>
      </c>
      <c r="B11" s="265" t="s">
        <v>573</v>
      </c>
      <c r="C11" s="6">
        <v>1760</v>
      </c>
      <c r="D11" s="6">
        <v>1008</v>
      </c>
      <c r="E11" s="290">
        <f t="shared" si="2"/>
        <v>57.27272727272727</v>
      </c>
      <c r="F11" s="6">
        <v>942</v>
      </c>
      <c r="G11" s="290">
        <f t="shared" si="1"/>
        <v>53.52272727272728</v>
      </c>
      <c r="H11" s="6">
        <v>810</v>
      </c>
      <c r="I11" s="6">
        <v>794</v>
      </c>
      <c r="J11" s="6">
        <v>101</v>
      </c>
      <c r="K11" s="6">
        <v>65</v>
      </c>
      <c r="L11" s="6">
        <v>128</v>
      </c>
      <c r="M11" s="6">
        <v>81</v>
      </c>
      <c r="N11" s="6">
        <v>1</v>
      </c>
      <c r="O11" s="6">
        <v>1</v>
      </c>
      <c r="P11" s="6">
        <v>680</v>
      </c>
      <c r="Q11" s="291"/>
    </row>
    <row r="12" spans="1:17" s="228" customFormat="1" ht="18" customHeight="1">
      <c r="A12" s="274">
        <v>4</v>
      </c>
      <c r="B12" s="265" t="s">
        <v>574</v>
      </c>
      <c r="C12" s="6">
        <v>2819</v>
      </c>
      <c r="D12" s="6">
        <v>1503</v>
      </c>
      <c r="E12" s="290">
        <f t="shared" si="2"/>
        <v>53.316778999645265</v>
      </c>
      <c r="F12" s="6">
        <v>1503</v>
      </c>
      <c r="G12" s="290">
        <f t="shared" si="1"/>
        <v>53.316778999645265</v>
      </c>
      <c r="H12" s="6">
        <v>1172</v>
      </c>
      <c r="I12" s="6">
        <v>1164</v>
      </c>
      <c r="J12" s="6">
        <v>283</v>
      </c>
      <c r="K12" s="6">
        <v>201</v>
      </c>
      <c r="L12" s="6">
        <v>171</v>
      </c>
      <c r="M12" s="6">
        <v>111</v>
      </c>
      <c r="N12" s="6">
        <v>44</v>
      </c>
      <c r="O12" s="6">
        <v>27</v>
      </c>
      <c r="P12" s="6">
        <v>1149</v>
      </c>
      <c r="Q12" s="291"/>
    </row>
    <row r="13" spans="1:17" s="228" customFormat="1" ht="18" customHeight="1">
      <c r="A13" s="274">
        <v>5</v>
      </c>
      <c r="B13" s="265" t="s">
        <v>575</v>
      </c>
      <c r="C13" s="6">
        <v>1712</v>
      </c>
      <c r="D13" s="6">
        <v>720</v>
      </c>
      <c r="E13" s="290">
        <f t="shared" si="2"/>
        <v>42.05607476635514</v>
      </c>
      <c r="F13" s="6">
        <v>492</v>
      </c>
      <c r="G13" s="290">
        <f t="shared" si="1"/>
        <v>28.738317757009348</v>
      </c>
      <c r="H13" s="6">
        <v>351</v>
      </c>
      <c r="I13" s="6">
        <v>351</v>
      </c>
      <c r="J13" s="6"/>
      <c r="K13" s="6"/>
      <c r="L13" s="6">
        <v>141</v>
      </c>
      <c r="M13" s="6">
        <v>141</v>
      </c>
      <c r="N13" s="6"/>
      <c r="O13" s="6"/>
      <c r="P13" s="6">
        <v>727</v>
      </c>
      <c r="Q13" s="291"/>
    </row>
    <row r="14" spans="1:17" s="228" customFormat="1" ht="18" customHeight="1">
      <c r="A14" s="274">
        <v>6</v>
      </c>
      <c r="B14" s="265" t="s">
        <v>576</v>
      </c>
      <c r="C14" s="6">
        <v>1808</v>
      </c>
      <c r="D14" s="6">
        <v>552</v>
      </c>
      <c r="E14" s="290">
        <f t="shared" si="2"/>
        <v>30.53097345132743</v>
      </c>
      <c r="F14" s="6">
        <v>540</v>
      </c>
      <c r="G14" s="290">
        <f t="shared" si="1"/>
        <v>29.867256637168143</v>
      </c>
      <c r="H14" s="6">
        <v>530</v>
      </c>
      <c r="I14" s="6">
        <v>530</v>
      </c>
      <c r="J14" s="6"/>
      <c r="K14" s="6"/>
      <c r="L14" s="6">
        <v>10</v>
      </c>
      <c r="M14" s="6">
        <v>10</v>
      </c>
      <c r="N14" s="6"/>
      <c r="O14" s="6"/>
      <c r="P14" s="6">
        <v>1258</v>
      </c>
      <c r="Q14" s="291"/>
    </row>
    <row r="15" spans="1:17" s="228" customFormat="1" ht="18" customHeight="1">
      <c r="A15" s="274">
        <v>7</v>
      </c>
      <c r="B15" s="265" t="s">
        <v>577</v>
      </c>
      <c r="C15" s="6">
        <v>1953</v>
      </c>
      <c r="D15" s="6">
        <v>1472</v>
      </c>
      <c r="E15" s="290">
        <f t="shared" si="2"/>
        <v>75.37122375832054</v>
      </c>
      <c r="F15" s="6">
        <v>1377</v>
      </c>
      <c r="G15" s="290">
        <f t="shared" si="1"/>
        <v>70.50691244239631</v>
      </c>
      <c r="H15" s="6">
        <v>1324</v>
      </c>
      <c r="I15" s="6">
        <v>1255</v>
      </c>
      <c r="J15" s="6">
        <v>66</v>
      </c>
      <c r="K15" s="6">
        <v>22</v>
      </c>
      <c r="L15" s="6">
        <v>188</v>
      </c>
      <c r="M15" s="6">
        <v>67</v>
      </c>
      <c r="N15" s="6">
        <v>20</v>
      </c>
      <c r="O15" s="6">
        <v>3</v>
      </c>
      <c r="P15" s="6">
        <v>469</v>
      </c>
      <c r="Q15" s="291"/>
    </row>
    <row r="16" spans="1:17" s="228" customFormat="1" ht="18" customHeight="1">
      <c r="A16" s="274">
        <v>8</v>
      </c>
      <c r="B16" s="265" t="s">
        <v>578</v>
      </c>
      <c r="C16" s="6">
        <v>1057</v>
      </c>
      <c r="D16" s="6">
        <v>499</v>
      </c>
      <c r="E16" s="290">
        <f t="shared" si="2"/>
        <v>47.20908230842006</v>
      </c>
      <c r="F16" s="6">
        <v>450</v>
      </c>
      <c r="G16" s="290">
        <f t="shared" si="1"/>
        <v>42.57332071901608</v>
      </c>
      <c r="H16" s="6">
        <v>389</v>
      </c>
      <c r="I16" s="6">
        <v>389</v>
      </c>
      <c r="J16" s="6">
        <v>110</v>
      </c>
      <c r="K16" s="6">
        <v>42</v>
      </c>
      <c r="L16" s="6">
        <v>291</v>
      </c>
      <c r="M16" s="6">
        <v>19</v>
      </c>
      <c r="N16" s="6">
        <v>120</v>
      </c>
      <c r="O16" s="6"/>
      <c r="P16" s="6">
        <v>60</v>
      </c>
      <c r="Q16" s="291"/>
    </row>
    <row r="17" spans="1:17" s="228" customFormat="1" ht="18" customHeight="1">
      <c r="A17" s="274">
        <v>9</v>
      </c>
      <c r="B17" s="265" t="s">
        <v>579</v>
      </c>
      <c r="C17" s="6">
        <v>1671</v>
      </c>
      <c r="D17" s="6">
        <v>979</v>
      </c>
      <c r="E17" s="290">
        <f t="shared" si="2"/>
        <v>58.58767205266307</v>
      </c>
      <c r="F17" s="6">
        <v>864</v>
      </c>
      <c r="G17" s="290">
        <f t="shared" si="1"/>
        <v>51.70556552962297</v>
      </c>
      <c r="H17" s="6">
        <v>724</v>
      </c>
      <c r="I17" s="6">
        <v>724</v>
      </c>
      <c r="J17" s="6">
        <v>136</v>
      </c>
      <c r="K17" s="6">
        <v>60</v>
      </c>
      <c r="L17" s="6">
        <v>85</v>
      </c>
      <c r="M17" s="6">
        <v>80</v>
      </c>
      <c r="N17" s="6"/>
      <c r="O17" s="6"/>
      <c r="P17" s="6">
        <v>569</v>
      </c>
      <c r="Q17" s="291"/>
    </row>
    <row r="18" spans="1:17" s="228" customFormat="1" ht="18" customHeight="1">
      <c r="A18" s="274">
        <v>10</v>
      </c>
      <c r="B18" s="265" t="s">
        <v>580</v>
      </c>
      <c r="C18" s="6">
        <v>1964</v>
      </c>
      <c r="D18" s="6">
        <v>1598</v>
      </c>
      <c r="E18" s="290">
        <f t="shared" si="2"/>
        <v>81.36456211812627</v>
      </c>
      <c r="F18" s="6">
        <v>1572</v>
      </c>
      <c r="G18" s="290">
        <f t="shared" si="1"/>
        <v>80.04073319755601</v>
      </c>
      <c r="H18" s="6">
        <v>1098</v>
      </c>
      <c r="I18" s="6">
        <v>1098</v>
      </c>
      <c r="J18" s="6">
        <v>29</v>
      </c>
      <c r="K18" s="6">
        <v>16</v>
      </c>
      <c r="L18" s="6">
        <v>142</v>
      </c>
      <c r="M18" s="6">
        <v>123</v>
      </c>
      <c r="N18" s="6">
        <v>13</v>
      </c>
      <c r="O18" s="6">
        <v>3</v>
      </c>
      <c r="P18" s="6">
        <v>642</v>
      </c>
      <c r="Q18" s="291"/>
    </row>
    <row r="19" spans="1:17" s="228" customFormat="1" ht="18" customHeight="1">
      <c r="A19" s="274">
        <v>11</v>
      </c>
      <c r="B19" s="265" t="s">
        <v>222</v>
      </c>
      <c r="C19" s="6">
        <v>2315</v>
      </c>
      <c r="D19" s="6">
        <v>1179</v>
      </c>
      <c r="E19" s="290">
        <f t="shared" si="2"/>
        <v>50.92872570194385</v>
      </c>
      <c r="F19" s="6">
        <v>1176</v>
      </c>
      <c r="G19" s="290">
        <f t="shared" si="1"/>
        <v>50.79913606911447</v>
      </c>
      <c r="H19" s="6">
        <v>1088</v>
      </c>
      <c r="I19" s="6">
        <v>1091</v>
      </c>
      <c r="J19" s="6">
        <v>91</v>
      </c>
      <c r="K19" s="6">
        <v>23</v>
      </c>
      <c r="L19" s="6">
        <v>826</v>
      </c>
      <c r="M19" s="6">
        <v>61</v>
      </c>
      <c r="N19" s="6">
        <v>5</v>
      </c>
      <c r="O19" s="6">
        <v>1</v>
      </c>
      <c r="P19" s="6">
        <v>231</v>
      </c>
      <c r="Q19" s="291"/>
    </row>
    <row r="20" spans="1:17" s="228" customFormat="1" ht="18" customHeight="1">
      <c r="A20" s="274">
        <v>12</v>
      </c>
      <c r="B20" s="265" t="s">
        <v>581</v>
      </c>
      <c r="C20" s="6">
        <v>1588</v>
      </c>
      <c r="D20" s="6">
        <v>700</v>
      </c>
      <c r="E20" s="290">
        <f t="shared" si="2"/>
        <v>44.08060453400503</v>
      </c>
      <c r="F20" s="6">
        <v>700</v>
      </c>
      <c r="G20" s="290">
        <f t="shared" si="1"/>
        <v>44.08060453400503</v>
      </c>
      <c r="H20" s="6">
        <v>591</v>
      </c>
      <c r="I20" s="6">
        <v>580</v>
      </c>
      <c r="J20" s="6">
        <v>132</v>
      </c>
      <c r="K20" s="6">
        <v>120</v>
      </c>
      <c r="L20" s="6"/>
      <c r="M20" s="6"/>
      <c r="N20" s="6"/>
      <c r="O20" s="6"/>
      <c r="P20" s="6">
        <v>481</v>
      </c>
      <c r="Q20" s="291"/>
    </row>
    <row r="21" spans="1:17" s="228" customFormat="1" ht="18" customHeight="1">
      <c r="A21" s="274">
        <v>13</v>
      </c>
      <c r="B21" s="265" t="s">
        <v>582</v>
      </c>
      <c r="C21" s="6">
        <v>2880</v>
      </c>
      <c r="D21" s="6">
        <v>1482</v>
      </c>
      <c r="E21" s="290">
        <f t="shared" si="2"/>
        <v>51.45833333333333</v>
      </c>
      <c r="F21" s="6">
        <v>1264</v>
      </c>
      <c r="G21" s="290">
        <f t="shared" si="1"/>
        <v>43.888888888888886</v>
      </c>
      <c r="H21" s="6">
        <v>1231</v>
      </c>
      <c r="I21" s="6">
        <v>1217</v>
      </c>
      <c r="J21" s="6">
        <v>44</v>
      </c>
      <c r="K21" s="6">
        <v>42</v>
      </c>
      <c r="L21" s="6">
        <v>7</v>
      </c>
      <c r="M21" s="6">
        <v>5</v>
      </c>
      <c r="N21" s="6"/>
      <c r="O21" s="6"/>
      <c r="P21" s="6">
        <v>1301</v>
      </c>
      <c r="Q21" s="291"/>
    </row>
    <row r="22" spans="1:17" s="228" customFormat="1" ht="18" customHeight="1">
      <c r="A22" s="274">
        <v>14</v>
      </c>
      <c r="B22" s="265" t="s">
        <v>583</v>
      </c>
      <c r="C22" s="6">
        <v>2055</v>
      </c>
      <c r="D22" s="6">
        <v>1039</v>
      </c>
      <c r="E22" s="290">
        <f t="shared" si="2"/>
        <v>50.5596107055961</v>
      </c>
      <c r="F22" s="6">
        <v>828</v>
      </c>
      <c r="G22" s="290">
        <f t="shared" si="1"/>
        <v>40.29197080291971</v>
      </c>
      <c r="H22" s="6">
        <v>763</v>
      </c>
      <c r="I22" s="6">
        <v>762</v>
      </c>
      <c r="J22" s="6">
        <v>35</v>
      </c>
      <c r="K22" s="6">
        <v>35</v>
      </c>
      <c r="L22" s="6">
        <v>31</v>
      </c>
      <c r="M22" s="6">
        <v>31</v>
      </c>
      <c r="N22" s="6"/>
      <c r="O22" s="6"/>
      <c r="P22" s="6">
        <v>809</v>
      </c>
      <c r="Q22" s="291"/>
    </row>
    <row r="23" spans="1:17" s="228" customFormat="1" ht="18" customHeight="1">
      <c r="A23" s="274">
        <v>15</v>
      </c>
      <c r="B23" s="265" t="s">
        <v>584</v>
      </c>
      <c r="C23" s="6">
        <v>1560</v>
      </c>
      <c r="D23" s="6">
        <v>987</v>
      </c>
      <c r="E23" s="290">
        <f t="shared" si="2"/>
        <v>63.26923076923077</v>
      </c>
      <c r="F23" s="6">
        <v>1749</v>
      </c>
      <c r="G23" s="290">
        <f t="shared" si="1"/>
        <v>112.11538461538461</v>
      </c>
      <c r="H23" s="6">
        <v>1662</v>
      </c>
      <c r="I23" s="6">
        <v>1509</v>
      </c>
      <c r="J23" s="6">
        <v>201</v>
      </c>
      <c r="K23" s="6">
        <v>92</v>
      </c>
      <c r="L23" s="6">
        <v>506</v>
      </c>
      <c r="M23" s="6">
        <v>148</v>
      </c>
      <c r="N23" s="6"/>
      <c r="O23" s="6"/>
      <c r="P23" s="6">
        <v>334</v>
      </c>
      <c r="Q23" s="291"/>
    </row>
    <row r="24" spans="1:17" s="228" customFormat="1" ht="18" customHeight="1">
      <c r="A24" s="274">
        <v>16</v>
      </c>
      <c r="B24" s="265" t="s">
        <v>548</v>
      </c>
      <c r="C24" s="6">
        <v>2437</v>
      </c>
      <c r="D24" s="6">
        <v>2232</v>
      </c>
      <c r="E24" s="290">
        <f t="shared" si="2"/>
        <v>91.58801805498564</v>
      </c>
      <c r="F24" s="6">
        <v>2236</v>
      </c>
      <c r="G24" s="290">
        <f t="shared" si="1"/>
        <v>91.75215428805909</v>
      </c>
      <c r="H24" s="6">
        <v>1081</v>
      </c>
      <c r="I24" s="6">
        <v>1081</v>
      </c>
      <c r="J24" s="6">
        <v>69</v>
      </c>
      <c r="K24" s="6">
        <v>69</v>
      </c>
      <c r="L24" s="6">
        <v>1084</v>
      </c>
      <c r="M24" s="6">
        <v>1073</v>
      </c>
      <c r="N24" s="6">
        <v>13</v>
      </c>
      <c r="O24" s="6">
        <v>13</v>
      </c>
      <c r="P24" s="6">
        <v>165</v>
      </c>
      <c r="Q24" s="291"/>
    </row>
    <row r="25" spans="1:17" s="228" customFormat="1" ht="18" customHeight="1">
      <c r="A25" s="274">
        <v>17</v>
      </c>
      <c r="B25" s="265" t="s">
        <v>585</v>
      </c>
      <c r="C25" s="6">
        <v>1268</v>
      </c>
      <c r="D25" s="6">
        <v>526</v>
      </c>
      <c r="E25" s="290">
        <f t="shared" si="2"/>
        <v>41.48264984227129</v>
      </c>
      <c r="F25" s="6">
        <v>526</v>
      </c>
      <c r="G25" s="290">
        <f t="shared" si="1"/>
        <v>41.48264984227129</v>
      </c>
      <c r="H25" s="6">
        <v>460</v>
      </c>
      <c r="I25" s="6">
        <v>460</v>
      </c>
      <c r="J25" s="6">
        <v>58</v>
      </c>
      <c r="K25" s="6">
        <v>45</v>
      </c>
      <c r="L25" s="6">
        <v>43</v>
      </c>
      <c r="M25" s="6">
        <v>21</v>
      </c>
      <c r="N25" s="6">
        <v>1</v>
      </c>
      <c r="O25" s="6"/>
      <c r="P25" s="6">
        <v>706</v>
      </c>
      <c r="Q25" s="291"/>
    </row>
    <row r="26" spans="1:17" s="228" customFormat="1" ht="18" customHeight="1">
      <c r="A26" s="274">
        <v>18</v>
      </c>
      <c r="B26" s="265" t="s">
        <v>586</v>
      </c>
      <c r="C26" s="6">
        <v>1895</v>
      </c>
      <c r="D26" s="6">
        <v>1370</v>
      </c>
      <c r="E26" s="290">
        <f t="shared" si="2"/>
        <v>72.29551451187335</v>
      </c>
      <c r="F26" s="6">
        <v>1363</v>
      </c>
      <c r="G26" s="290">
        <f t="shared" si="1"/>
        <v>71.92612137203166</v>
      </c>
      <c r="H26" s="6">
        <v>733</v>
      </c>
      <c r="I26" s="6">
        <v>733</v>
      </c>
      <c r="J26" s="6">
        <v>175</v>
      </c>
      <c r="K26" s="6">
        <v>104</v>
      </c>
      <c r="L26" s="6">
        <v>543</v>
      </c>
      <c r="M26" s="6">
        <v>507</v>
      </c>
      <c r="N26" s="6">
        <v>19</v>
      </c>
      <c r="O26" s="6">
        <v>19</v>
      </c>
      <c r="P26" s="6">
        <v>289</v>
      </c>
      <c r="Q26" s="291"/>
    </row>
    <row r="27" spans="1:17" s="289" customFormat="1" ht="18" customHeight="1">
      <c r="A27" s="275" t="s">
        <v>42</v>
      </c>
      <c r="B27" s="292" t="s">
        <v>587</v>
      </c>
      <c r="C27" s="170">
        <f>SUM(C28:C46)</f>
        <v>39619</v>
      </c>
      <c r="D27" s="170">
        <f aca="true" t="shared" si="3" ref="D27:P27">SUM(D28:D46)</f>
        <v>24137</v>
      </c>
      <c r="E27" s="170" t="s">
        <v>588</v>
      </c>
      <c r="F27" s="170">
        <f t="shared" si="3"/>
        <v>22305</v>
      </c>
      <c r="G27" s="170" t="s">
        <v>589</v>
      </c>
      <c r="H27" s="170">
        <f t="shared" si="3"/>
        <v>17156</v>
      </c>
      <c r="I27" s="170">
        <f t="shared" si="3"/>
        <v>16374</v>
      </c>
      <c r="J27" s="170">
        <f t="shared" si="3"/>
        <v>3216</v>
      </c>
      <c r="K27" s="170">
        <f t="shared" si="3"/>
        <v>2430</v>
      </c>
      <c r="L27" s="170">
        <f t="shared" si="3"/>
        <v>4525</v>
      </c>
      <c r="M27" s="170">
        <f t="shared" si="3"/>
        <v>3350</v>
      </c>
      <c r="N27" s="170">
        <f t="shared" si="3"/>
        <v>286</v>
      </c>
      <c r="O27" s="170">
        <f t="shared" si="3"/>
        <v>132</v>
      </c>
      <c r="P27" s="170">
        <f t="shared" si="3"/>
        <v>10718</v>
      </c>
      <c r="Q27" s="293"/>
    </row>
    <row r="28" spans="1:17" s="228" customFormat="1" ht="18" customHeight="1">
      <c r="A28" s="274">
        <v>1</v>
      </c>
      <c r="B28" s="265" t="s">
        <v>539</v>
      </c>
      <c r="C28" s="6">
        <v>1680</v>
      </c>
      <c r="D28" s="6">
        <v>1532</v>
      </c>
      <c r="E28" s="290">
        <f>D28/C28*100</f>
        <v>91.19047619047619</v>
      </c>
      <c r="F28" s="6">
        <v>1528</v>
      </c>
      <c r="G28" s="290">
        <f>F28/C28*100</f>
        <v>90.95238095238095</v>
      </c>
      <c r="H28" s="6">
        <v>1453</v>
      </c>
      <c r="I28" s="6">
        <v>1446</v>
      </c>
      <c r="J28" s="6">
        <v>82</v>
      </c>
      <c r="K28" s="6">
        <v>72</v>
      </c>
      <c r="L28" s="6">
        <v>13</v>
      </c>
      <c r="M28" s="6">
        <v>10</v>
      </c>
      <c r="N28" s="6">
        <v>0</v>
      </c>
      <c r="O28" s="6">
        <v>0</v>
      </c>
      <c r="P28" s="6">
        <v>140</v>
      </c>
      <c r="Q28" s="294"/>
    </row>
    <row r="29" spans="1:17" s="228" customFormat="1" ht="18" customHeight="1">
      <c r="A29" s="274">
        <v>2</v>
      </c>
      <c r="B29" s="265" t="s">
        <v>554</v>
      </c>
      <c r="C29" s="6">
        <v>2028</v>
      </c>
      <c r="D29" s="6">
        <v>1593</v>
      </c>
      <c r="E29" s="290">
        <f aca="true" t="shared" si="4" ref="E29:E46">D29/C29*100</f>
        <v>78.55029585798816</v>
      </c>
      <c r="F29" s="6">
        <v>1543</v>
      </c>
      <c r="G29" s="290">
        <f aca="true" t="shared" si="5" ref="G29:G46">F29/C29*100</f>
        <v>76.08481262327416</v>
      </c>
      <c r="H29" s="6">
        <v>1030</v>
      </c>
      <c r="I29" s="6">
        <v>1011</v>
      </c>
      <c r="J29" s="6">
        <v>474</v>
      </c>
      <c r="K29" s="6">
        <v>394</v>
      </c>
      <c r="L29" s="6">
        <v>226</v>
      </c>
      <c r="M29" s="6">
        <v>137</v>
      </c>
      <c r="N29" s="6">
        <v>10</v>
      </c>
      <c r="O29" s="6">
        <v>1</v>
      </c>
      <c r="P29" s="6">
        <v>278</v>
      </c>
      <c r="Q29" s="294"/>
    </row>
    <row r="30" spans="1:17" s="228" customFormat="1" ht="18" customHeight="1">
      <c r="A30" s="274">
        <v>3</v>
      </c>
      <c r="B30" s="265" t="s">
        <v>220</v>
      </c>
      <c r="C30" s="6">
        <v>3418</v>
      </c>
      <c r="D30" s="6">
        <v>1657</v>
      </c>
      <c r="E30" s="290">
        <f t="shared" si="4"/>
        <v>48.478642480983034</v>
      </c>
      <c r="F30" s="6">
        <v>1418</v>
      </c>
      <c r="G30" s="290">
        <f t="shared" si="5"/>
        <v>41.48624926857812</v>
      </c>
      <c r="H30" s="6">
        <v>1113</v>
      </c>
      <c r="I30" s="6">
        <v>902</v>
      </c>
      <c r="J30" s="6">
        <v>720</v>
      </c>
      <c r="K30" s="6">
        <v>460</v>
      </c>
      <c r="L30" s="6">
        <v>325</v>
      </c>
      <c r="M30" s="6">
        <v>56</v>
      </c>
      <c r="N30" s="6">
        <v>0</v>
      </c>
      <c r="O30" s="6">
        <v>0</v>
      </c>
      <c r="P30" s="6">
        <v>802</v>
      </c>
      <c r="Q30" s="294"/>
    </row>
    <row r="31" spans="1:17" s="228" customFormat="1" ht="18" customHeight="1">
      <c r="A31" s="274">
        <v>4</v>
      </c>
      <c r="B31" s="265" t="s">
        <v>590</v>
      </c>
      <c r="C31" s="6">
        <v>1516</v>
      </c>
      <c r="D31" s="6">
        <v>916</v>
      </c>
      <c r="E31" s="290">
        <f t="shared" si="4"/>
        <v>60.4221635883905</v>
      </c>
      <c r="F31" s="6">
        <v>859</v>
      </c>
      <c r="G31" s="290">
        <f t="shared" si="5"/>
        <v>56.6622691292876</v>
      </c>
      <c r="H31" s="6">
        <v>798</v>
      </c>
      <c r="I31" s="6">
        <v>776</v>
      </c>
      <c r="J31" s="6">
        <v>53</v>
      </c>
      <c r="K31" s="6">
        <v>43</v>
      </c>
      <c r="L31" s="6">
        <v>109</v>
      </c>
      <c r="M31" s="6">
        <v>28</v>
      </c>
      <c r="N31" s="6">
        <v>104</v>
      </c>
      <c r="O31" s="6">
        <v>12</v>
      </c>
      <c r="P31" s="6">
        <v>276</v>
      </c>
      <c r="Q31" s="294"/>
    </row>
    <row r="32" spans="1:17" s="228" customFormat="1" ht="18" customHeight="1">
      <c r="A32" s="274">
        <v>5</v>
      </c>
      <c r="B32" s="265" t="s">
        <v>591</v>
      </c>
      <c r="C32" s="6">
        <v>1681</v>
      </c>
      <c r="D32" s="6">
        <v>790</v>
      </c>
      <c r="E32" s="290">
        <f t="shared" si="4"/>
        <v>46.99583581201666</v>
      </c>
      <c r="F32" s="6">
        <v>766</v>
      </c>
      <c r="G32" s="290">
        <f t="shared" si="5"/>
        <v>45.56811421772755</v>
      </c>
      <c r="H32" s="6">
        <v>529</v>
      </c>
      <c r="I32" s="6">
        <v>506</v>
      </c>
      <c r="J32" s="6">
        <v>111</v>
      </c>
      <c r="K32" s="6">
        <v>29</v>
      </c>
      <c r="L32" s="6">
        <v>161</v>
      </c>
      <c r="M32" s="6">
        <v>119</v>
      </c>
      <c r="N32" s="6">
        <v>46</v>
      </c>
      <c r="O32" s="6">
        <v>39</v>
      </c>
      <c r="P32" s="6">
        <v>793</v>
      </c>
      <c r="Q32" s="294"/>
    </row>
    <row r="33" spans="1:17" s="228" customFormat="1" ht="18" customHeight="1">
      <c r="A33" s="274">
        <v>6</v>
      </c>
      <c r="B33" s="265" t="s">
        <v>592</v>
      </c>
      <c r="C33" s="6">
        <v>2273</v>
      </c>
      <c r="D33" s="6">
        <v>1110</v>
      </c>
      <c r="E33" s="290">
        <f t="shared" si="4"/>
        <v>48.834139903211614</v>
      </c>
      <c r="F33" s="6">
        <v>997</v>
      </c>
      <c r="G33" s="290">
        <f t="shared" si="5"/>
        <v>43.86273647162341</v>
      </c>
      <c r="H33" s="6">
        <v>553</v>
      </c>
      <c r="I33" s="6">
        <v>553</v>
      </c>
      <c r="J33" s="6">
        <v>138</v>
      </c>
      <c r="K33" s="6">
        <v>127</v>
      </c>
      <c r="L33" s="6">
        <v>414</v>
      </c>
      <c r="M33" s="6">
        <v>320</v>
      </c>
      <c r="N33" s="6"/>
      <c r="O33" s="6"/>
      <c r="P33" s="6">
        <v>975</v>
      </c>
      <c r="Q33" s="294"/>
    </row>
    <row r="34" spans="1:17" s="228" customFormat="1" ht="18" customHeight="1">
      <c r="A34" s="274">
        <v>7</v>
      </c>
      <c r="B34" s="265" t="s">
        <v>593</v>
      </c>
      <c r="C34" s="6">
        <v>3705</v>
      </c>
      <c r="D34" s="6">
        <v>1890</v>
      </c>
      <c r="E34" s="290">
        <f t="shared" si="4"/>
        <v>51.012145748987855</v>
      </c>
      <c r="F34" s="6">
        <v>1847</v>
      </c>
      <c r="G34" s="290">
        <f t="shared" si="5"/>
        <v>49.851551956815115</v>
      </c>
      <c r="H34" s="6">
        <v>804</v>
      </c>
      <c r="I34" s="6">
        <v>794</v>
      </c>
      <c r="J34" s="6">
        <v>135</v>
      </c>
      <c r="K34" s="6">
        <v>107</v>
      </c>
      <c r="L34" s="6">
        <v>918</v>
      </c>
      <c r="M34" s="6">
        <v>883</v>
      </c>
      <c r="N34" s="6">
        <v>90</v>
      </c>
      <c r="O34" s="6">
        <v>63</v>
      </c>
      <c r="P34" s="6">
        <v>1138</v>
      </c>
      <c r="Q34" s="294"/>
    </row>
    <row r="35" spans="1:17" s="228" customFormat="1" ht="18" customHeight="1">
      <c r="A35" s="274">
        <v>8</v>
      </c>
      <c r="B35" s="265" t="s">
        <v>594</v>
      </c>
      <c r="C35" s="6">
        <v>1855</v>
      </c>
      <c r="D35" s="6">
        <v>1289</v>
      </c>
      <c r="E35" s="290">
        <f t="shared" si="4"/>
        <v>69.4878706199461</v>
      </c>
      <c r="F35" s="6">
        <v>1243</v>
      </c>
      <c r="G35" s="290">
        <f t="shared" si="5"/>
        <v>67.00808625336927</v>
      </c>
      <c r="H35" s="6">
        <v>1168</v>
      </c>
      <c r="I35" s="6">
        <v>1073</v>
      </c>
      <c r="J35" s="6">
        <v>68</v>
      </c>
      <c r="K35" s="6">
        <v>42</v>
      </c>
      <c r="L35" s="6">
        <v>166</v>
      </c>
      <c r="M35" s="6">
        <v>128</v>
      </c>
      <c r="N35" s="6">
        <v>1</v>
      </c>
      <c r="O35" s="6">
        <v>1</v>
      </c>
      <c r="P35" s="6">
        <v>880</v>
      </c>
      <c r="Q35" s="294"/>
    </row>
    <row r="36" spans="1:17" s="228" customFormat="1" ht="18" customHeight="1">
      <c r="A36" s="274">
        <v>9</v>
      </c>
      <c r="B36" s="265" t="s">
        <v>218</v>
      </c>
      <c r="C36" s="6">
        <v>1373</v>
      </c>
      <c r="D36" s="6">
        <v>754</v>
      </c>
      <c r="E36" s="290">
        <f t="shared" si="4"/>
        <v>54.916241806263656</v>
      </c>
      <c r="F36" s="6">
        <v>712</v>
      </c>
      <c r="G36" s="290">
        <f t="shared" si="5"/>
        <v>51.85724690458849</v>
      </c>
      <c r="H36" s="6">
        <v>340</v>
      </c>
      <c r="I36" s="6">
        <v>326</v>
      </c>
      <c r="J36" s="6">
        <v>172</v>
      </c>
      <c r="K36" s="6">
        <v>168</v>
      </c>
      <c r="L36" s="6">
        <v>248</v>
      </c>
      <c r="M36" s="6">
        <v>193</v>
      </c>
      <c r="N36" s="6"/>
      <c r="O36" s="6"/>
      <c r="P36" s="6">
        <v>472</v>
      </c>
      <c r="Q36" s="294"/>
    </row>
    <row r="37" spans="1:17" s="228" customFormat="1" ht="18" customHeight="1">
      <c r="A37" s="274">
        <v>10</v>
      </c>
      <c r="B37" s="265" t="s">
        <v>595</v>
      </c>
      <c r="C37" s="6">
        <v>1897</v>
      </c>
      <c r="D37" s="6">
        <v>1212</v>
      </c>
      <c r="E37" s="290">
        <f t="shared" si="4"/>
        <v>63.89035318924618</v>
      </c>
      <c r="F37" s="6">
        <v>964</v>
      </c>
      <c r="G37" s="290">
        <f t="shared" si="5"/>
        <v>50.81707959936742</v>
      </c>
      <c r="H37" s="6">
        <v>801</v>
      </c>
      <c r="I37" s="6">
        <v>693</v>
      </c>
      <c r="J37" s="6">
        <v>115</v>
      </c>
      <c r="K37" s="6">
        <v>68</v>
      </c>
      <c r="L37" s="6">
        <v>250</v>
      </c>
      <c r="M37" s="6">
        <v>203</v>
      </c>
      <c r="N37" s="6"/>
      <c r="O37" s="6"/>
      <c r="P37" s="6">
        <v>305</v>
      </c>
      <c r="Q37" s="288"/>
    </row>
    <row r="38" spans="1:17" s="228" customFormat="1" ht="18" customHeight="1">
      <c r="A38" s="274">
        <v>11</v>
      </c>
      <c r="B38" s="265" t="s">
        <v>596</v>
      </c>
      <c r="C38" s="6">
        <v>2109</v>
      </c>
      <c r="D38" s="6">
        <v>1401</v>
      </c>
      <c r="E38" s="290">
        <f t="shared" si="4"/>
        <v>66.42958748221906</v>
      </c>
      <c r="F38" s="6">
        <v>1083</v>
      </c>
      <c r="G38" s="290">
        <f t="shared" si="5"/>
        <v>51.35135135135135</v>
      </c>
      <c r="H38" s="6">
        <v>561</v>
      </c>
      <c r="I38" s="6">
        <v>550</v>
      </c>
      <c r="J38" s="6">
        <v>75</v>
      </c>
      <c r="K38" s="6">
        <v>65</v>
      </c>
      <c r="L38" s="6">
        <v>519</v>
      </c>
      <c r="M38" s="6">
        <v>468</v>
      </c>
      <c r="N38" s="6"/>
      <c r="O38" s="6"/>
      <c r="P38" s="6">
        <v>712</v>
      </c>
      <c r="Q38" s="294"/>
    </row>
    <row r="39" spans="1:17" s="228" customFormat="1" ht="18" customHeight="1">
      <c r="A39" s="274">
        <v>12</v>
      </c>
      <c r="B39" s="265" t="s">
        <v>597</v>
      </c>
      <c r="C39" s="6">
        <v>1963</v>
      </c>
      <c r="D39" s="6">
        <v>1089</v>
      </c>
      <c r="E39" s="290">
        <f t="shared" si="4"/>
        <v>55.47631176770249</v>
      </c>
      <c r="F39" s="6">
        <v>996</v>
      </c>
      <c r="G39" s="290">
        <f t="shared" si="5"/>
        <v>50.73866530820174</v>
      </c>
      <c r="H39" s="6">
        <v>751</v>
      </c>
      <c r="I39" s="6">
        <v>751</v>
      </c>
      <c r="J39" s="6">
        <v>11</v>
      </c>
      <c r="K39" s="6">
        <v>11</v>
      </c>
      <c r="L39" s="6">
        <v>273</v>
      </c>
      <c r="M39" s="6">
        <v>216</v>
      </c>
      <c r="N39" s="6"/>
      <c r="O39" s="6"/>
      <c r="P39" s="6"/>
      <c r="Q39" s="294"/>
    </row>
    <row r="40" spans="1:17" s="228" customFormat="1" ht="18" customHeight="1">
      <c r="A40" s="274">
        <v>13</v>
      </c>
      <c r="B40" s="265" t="s">
        <v>598</v>
      </c>
      <c r="C40" s="6">
        <v>1829</v>
      </c>
      <c r="D40" s="6">
        <v>1073</v>
      </c>
      <c r="E40" s="290">
        <f t="shared" si="4"/>
        <v>58.66593767085839</v>
      </c>
      <c r="F40" s="6">
        <v>959</v>
      </c>
      <c r="G40" s="290">
        <f t="shared" si="5"/>
        <v>52.433023510114815</v>
      </c>
      <c r="H40" s="6">
        <v>848</v>
      </c>
      <c r="I40" s="6">
        <v>848</v>
      </c>
      <c r="J40" s="6">
        <v>46</v>
      </c>
      <c r="K40" s="6">
        <v>43</v>
      </c>
      <c r="L40" s="6">
        <v>89</v>
      </c>
      <c r="M40" s="6">
        <v>65</v>
      </c>
      <c r="N40" s="6">
        <v>19</v>
      </c>
      <c r="O40" s="6">
        <v>3</v>
      </c>
      <c r="P40" s="6">
        <v>687</v>
      </c>
      <c r="Q40" s="294"/>
    </row>
    <row r="41" spans="1:17" s="228" customFormat="1" ht="18" customHeight="1">
      <c r="A41" s="274">
        <v>14</v>
      </c>
      <c r="B41" s="265" t="s">
        <v>599</v>
      </c>
      <c r="C41" s="6">
        <v>996</v>
      </c>
      <c r="D41" s="6">
        <v>842</v>
      </c>
      <c r="E41" s="290">
        <f t="shared" si="4"/>
        <v>84.53815261044177</v>
      </c>
      <c r="F41" s="6">
        <v>787</v>
      </c>
      <c r="G41" s="290">
        <f t="shared" si="5"/>
        <v>79.01606425702812</v>
      </c>
      <c r="H41" s="6">
        <v>720</v>
      </c>
      <c r="I41" s="6">
        <v>719</v>
      </c>
      <c r="J41" s="6">
        <v>58</v>
      </c>
      <c r="K41" s="6">
        <v>25</v>
      </c>
      <c r="L41" s="6">
        <v>94</v>
      </c>
      <c r="M41" s="6">
        <v>43</v>
      </c>
      <c r="N41" s="6"/>
      <c r="O41" s="6"/>
      <c r="P41" s="6">
        <v>114</v>
      </c>
      <c r="Q41" s="294"/>
    </row>
    <row r="42" spans="1:17" s="228" customFormat="1" ht="18" customHeight="1">
      <c r="A42" s="274">
        <v>15</v>
      </c>
      <c r="B42" s="265" t="s">
        <v>157</v>
      </c>
      <c r="C42" s="6">
        <v>2081</v>
      </c>
      <c r="D42" s="6">
        <v>1202</v>
      </c>
      <c r="E42" s="290">
        <f t="shared" si="4"/>
        <v>57.760691975012016</v>
      </c>
      <c r="F42" s="6">
        <v>1070</v>
      </c>
      <c r="G42" s="290">
        <f t="shared" si="5"/>
        <v>51.417587698222015</v>
      </c>
      <c r="H42" s="6">
        <v>967</v>
      </c>
      <c r="I42" s="6">
        <v>930</v>
      </c>
      <c r="J42" s="6">
        <v>265</v>
      </c>
      <c r="K42" s="6">
        <v>213</v>
      </c>
      <c r="L42" s="6">
        <v>33</v>
      </c>
      <c r="M42" s="6">
        <v>9</v>
      </c>
      <c r="N42" s="6"/>
      <c r="O42" s="6"/>
      <c r="P42" s="6">
        <v>724</v>
      </c>
      <c r="Q42" s="294"/>
    </row>
    <row r="43" spans="1:17" s="228" customFormat="1" ht="18" customHeight="1">
      <c r="A43" s="274">
        <v>16</v>
      </c>
      <c r="B43" s="265" t="s">
        <v>559</v>
      </c>
      <c r="C43" s="6">
        <v>1764</v>
      </c>
      <c r="D43" s="6">
        <v>1489</v>
      </c>
      <c r="E43" s="290">
        <f t="shared" si="4"/>
        <v>84.41043083900227</v>
      </c>
      <c r="F43" s="6">
        <v>1438</v>
      </c>
      <c r="G43" s="290">
        <f t="shared" si="5"/>
        <v>81.51927437641724</v>
      </c>
      <c r="H43" s="6">
        <v>1221</v>
      </c>
      <c r="I43" s="6">
        <v>1218</v>
      </c>
      <c r="J43" s="6">
        <v>46</v>
      </c>
      <c r="K43" s="6">
        <v>45</v>
      </c>
      <c r="L43" s="6">
        <v>219</v>
      </c>
      <c r="M43" s="6">
        <v>173</v>
      </c>
      <c r="N43" s="6">
        <v>3</v>
      </c>
      <c r="O43" s="6">
        <v>2</v>
      </c>
      <c r="P43" s="6">
        <v>154</v>
      </c>
      <c r="Q43" s="294"/>
    </row>
    <row r="44" spans="1:17" s="228" customFormat="1" ht="18" customHeight="1">
      <c r="A44" s="274">
        <v>17</v>
      </c>
      <c r="B44" s="265" t="s">
        <v>217</v>
      </c>
      <c r="C44" s="6">
        <v>2745</v>
      </c>
      <c r="D44" s="6">
        <v>1170</v>
      </c>
      <c r="E44" s="290">
        <f t="shared" si="4"/>
        <v>42.62295081967213</v>
      </c>
      <c r="F44" s="6">
        <v>1102</v>
      </c>
      <c r="G44" s="290">
        <f t="shared" si="5"/>
        <v>40.145719489981786</v>
      </c>
      <c r="H44" s="6">
        <v>832</v>
      </c>
      <c r="I44" s="6">
        <v>788</v>
      </c>
      <c r="J44" s="6">
        <v>208</v>
      </c>
      <c r="K44" s="6">
        <v>168</v>
      </c>
      <c r="L44" s="6">
        <v>178</v>
      </c>
      <c r="M44" s="6">
        <v>146</v>
      </c>
      <c r="N44" s="6">
        <v>1</v>
      </c>
      <c r="O44" s="6">
        <v>0</v>
      </c>
      <c r="P44" s="6">
        <v>1454</v>
      </c>
      <c r="Q44" s="295"/>
    </row>
    <row r="45" spans="1:17" s="228" customFormat="1" ht="18" customHeight="1">
      <c r="A45" s="274">
        <v>18</v>
      </c>
      <c r="B45" s="265" t="s">
        <v>600</v>
      </c>
      <c r="C45" s="6">
        <v>2006</v>
      </c>
      <c r="D45" s="6">
        <v>1562</v>
      </c>
      <c r="E45" s="290">
        <f t="shared" si="4"/>
        <v>77.86640079760718</v>
      </c>
      <c r="F45" s="6">
        <v>1505</v>
      </c>
      <c r="G45" s="290">
        <f t="shared" si="5"/>
        <v>75.02492522432702</v>
      </c>
      <c r="H45" s="6">
        <v>1169</v>
      </c>
      <c r="I45" s="6">
        <v>1101</v>
      </c>
      <c r="J45" s="6">
        <v>354</v>
      </c>
      <c r="K45" s="6">
        <v>302</v>
      </c>
      <c r="L45" s="6">
        <v>128</v>
      </c>
      <c r="M45" s="6">
        <v>102</v>
      </c>
      <c r="N45" s="6">
        <v>11</v>
      </c>
      <c r="O45" s="6">
        <v>11</v>
      </c>
      <c r="P45" s="6">
        <v>313</v>
      </c>
      <c r="Q45" s="294"/>
    </row>
    <row r="46" spans="1:17" s="228" customFormat="1" ht="18" customHeight="1">
      <c r="A46" s="274">
        <v>19</v>
      </c>
      <c r="B46" s="265" t="s">
        <v>601</v>
      </c>
      <c r="C46" s="6">
        <v>2700</v>
      </c>
      <c r="D46" s="6">
        <v>1566</v>
      </c>
      <c r="E46" s="290">
        <f t="shared" si="4"/>
        <v>57.99999999999999</v>
      </c>
      <c r="F46" s="6">
        <v>1488</v>
      </c>
      <c r="G46" s="290">
        <f t="shared" si="5"/>
        <v>55.111111111111114</v>
      </c>
      <c r="H46" s="6">
        <v>1498</v>
      </c>
      <c r="I46" s="6">
        <v>1389</v>
      </c>
      <c r="J46" s="6">
        <v>85</v>
      </c>
      <c r="K46" s="6">
        <v>48</v>
      </c>
      <c r="L46" s="6">
        <v>162</v>
      </c>
      <c r="M46" s="6">
        <v>51</v>
      </c>
      <c r="N46" s="6">
        <v>1</v>
      </c>
      <c r="O46" s="6"/>
      <c r="P46" s="6">
        <v>501</v>
      </c>
      <c r="Q46" s="294"/>
    </row>
    <row r="47" spans="1:17" s="289" customFormat="1" ht="18" customHeight="1">
      <c r="A47" s="275" t="s">
        <v>43</v>
      </c>
      <c r="B47" s="292" t="s">
        <v>602</v>
      </c>
      <c r="C47" s="170">
        <f>SUM(C48:C70)</f>
        <v>54593</v>
      </c>
      <c r="D47" s="170">
        <f aca="true" t="shared" si="6" ref="D47:P47">SUM(D48:D70)</f>
        <v>29929</v>
      </c>
      <c r="E47" s="170">
        <v>54.8</v>
      </c>
      <c r="F47" s="170">
        <f t="shared" si="6"/>
        <v>27011</v>
      </c>
      <c r="G47" s="170">
        <v>49.5</v>
      </c>
      <c r="H47" s="170">
        <f t="shared" si="6"/>
        <v>16346</v>
      </c>
      <c r="I47" s="170">
        <f t="shared" si="6"/>
        <v>15917</v>
      </c>
      <c r="J47" s="170">
        <f t="shared" si="6"/>
        <v>4720</v>
      </c>
      <c r="K47" s="170">
        <f t="shared" si="6"/>
        <v>3571</v>
      </c>
      <c r="L47" s="170">
        <f t="shared" si="6"/>
        <v>8435</v>
      </c>
      <c r="M47" s="170">
        <f t="shared" si="6"/>
        <v>5911</v>
      </c>
      <c r="N47" s="170">
        <f t="shared" si="6"/>
        <v>191</v>
      </c>
      <c r="O47" s="170">
        <f t="shared" si="6"/>
        <v>116</v>
      </c>
      <c r="P47" s="170">
        <f t="shared" si="6"/>
        <v>16935</v>
      </c>
      <c r="Q47" s="288"/>
    </row>
    <row r="48" spans="1:17" s="228" customFormat="1" ht="18" customHeight="1">
      <c r="A48" s="274">
        <v>1</v>
      </c>
      <c r="B48" s="265" t="s">
        <v>547</v>
      </c>
      <c r="C48" s="6">
        <v>1670</v>
      </c>
      <c r="D48" s="6">
        <v>1167</v>
      </c>
      <c r="E48" s="290">
        <f>D48/C48*100</f>
        <v>69.88023952095809</v>
      </c>
      <c r="F48" s="6">
        <v>1160</v>
      </c>
      <c r="G48" s="290">
        <f>F48/C48*100</f>
        <v>69.46107784431138</v>
      </c>
      <c r="H48" s="6">
        <v>909</v>
      </c>
      <c r="I48" s="6">
        <v>909</v>
      </c>
      <c r="J48" s="6">
        <v>317</v>
      </c>
      <c r="K48" s="6">
        <v>193</v>
      </c>
      <c r="L48" s="6">
        <v>47</v>
      </c>
      <c r="M48" s="6">
        <v>37</v>
      </c>
      <c r="N48" s="6">
        <v>2</v>
      </c>
      <c r="O48" s="6">
        <v>2</v>
      </c>
      <c r="P48" s="6">
        <v>494</v>
      </c>
      <c r="Q48" s="294"/>
    </row>
    <row r="49" spans="1:17" s="228" customFormat="1" ht="18" customHeight="1">
      <c r="A49" s="274">
        <v>2</v>
      </c>
      <c r="B49" s="265" t="s">
        <v>603</v>
      </c>
      <c r="C49" s="6">
        <v>2829</v>
      </c>
      <c r="D49" s="6">
        <v>1202</v>
      </c>
      <c r="E49" s="290">
        <f aca="true" t="shared" si="7" ref="E49:E70">D49/C49*100</f>
        <v>42.488511841640154</v>
      </c>
      <c r="F49" s="6">
        <v>1084</v>
      </c>
      <c r="G49" s="290">
        <f aca="true" t="shared" si="8" ref="G49:G70">F49/C49*100</f>
        <v>38.317426652527395</v>
      </c>
      <c r="H49" s="6">
        <v>979</v>
      </c>
      <c r="I49" s="6">
        <v>979</v>
      </c>
      <c r="J49" s="6">
        <v>131</v>
      </c>
      <c r="K49" s="6">
        <v>129</v>
      </c>
      <c r="L49" s="6">
        <v>234</v>
      </c>
      <c r="M49" s="6">
        <v>133</v>
      </c>
      <c r="N49" s="6">
        <v>5</v>
      </c>
      <c r="O49" s="6">
        <v>5</v>
      </c>
      <c r="P49" s="6">
        <v>1320</v>
      </c>
      <c r="Q49" s="294"/>
    </row>
    <row r="50" spans="1:17" s="228" customFormat="1" ht="18" customHeight="1">
      <c r="A50" s="274">
        <v>3</v>
      </c>
      <c r="B50" s="265" t="s">
        <v>604</v>
      </c>
      <c r="C50" s="6">
        <v>2905</v>
      </c>
      <c r="D50" s="6">
        <v>1785</v>
      </c>
      <c r="E50" s="290">
        <f t="shared" si="7"/>
        <v>61.44578313253012</v>
      </c>
      <c r="F50" s="6">
        <f>D50</f>
        <v>1785</v>
      </c>
      <c r="G50" s="290">
        <f t="shared" si="8"/>
        <v>61.44578313253012</v>
      </c>
      <c r="H50" s="6">
        <v>717</v>
      </c>
      <c r="I50" s="6">
        <v>398</v>
      </c>
      <c r="J50" s="6">
        <v>61</v>
      </c>
      <c r="K50" s="6">
        <v>26</v>
      </c>
      <c r="L50" s="6">
        <v>247</v>
      </c>
      <c r="M50" s="6">
        <v>145</v>
      </c>
      <c r="N50" s="6">
        <v>6</v>
      </c>
      <c r="O50" s="6">
        <v>3</v>
      </c>
      <c r="P50" s="6">
        <v>323</v>
      </c>
      <c r="Q50" s="294"/>
    </row>
    <row r="51" spans="1:17" s="228" customFormat="1" ht="18" customHeight="1">
      <c r="A51" s="274">
        <v>4</v>
      </c>
      <c r="B51" s="265" t="s">
        <v>605</v>
      </c>
      <c r="C51" s="6">
        <v>3327</v>
      </c>
      <c r="D51" s="6">
        <v>2194</v>
      </c>
      <c r="E51" s="290">
        <f t="shared" si="7"/>
        <v>65.94529606251879</v>
      </c>
      <c r="F51" s="6">
        <v>2006</v>
      </c>
      <c r="G51" s="290">
        <f t="shared" si="8"/>
        <v>60.29455966336038</v>
      </c>
      <c r="H51" s="6">
        <v>1062</v>
      </c>
      <c r="I51" s="6">
        <v>1052</v>
      </c>
      <c r="J51" s="6">
        <v>60</v>
      </c>
      <c r="K51" s="6">
        <v>56</v>
      </c>
      <c r="L51" s="6">
        <v>1152</v>
      </c>
      <c r="M51" s="6">
        <v>727</v>
      </c>
      <c r="N51" s="6"/>
      <c r="O51" s="6"/>
      <c r="P51" s="6">
        <v>695</v>
      </c>
      <c r="Q51" s="294"/>
    </row>
    <row r="52" spans="1:17" s="228" customFormat="1" ht="18" customHeight="1">
      <c r="A52" s="274">
        <v>5</v>
      </c>
      <c r="B52" s="265" t="s">
        <v>606</v>
      </c>
      <c r="C52" s="6">
        <v>2202</v>
      </c>
      <c r="D52" s="6">
        <v>1114</v>
      </c>
      <c r="E52" s="290">
        <f t="shared" si="7"/>
        <v>50.590372388737514</v>
      </c>
      <c r="F52" s="6">
        <v>973</v>
      </c>
      <c r="G52" s="290">
        <f t="shared" si="8"/>
        <v>44.18710263396912</v>
      </c>
      <c r="H52" s="6">
        <v>561</v>
      </c>
      <c r="I52" s="6">
        <v>524</v>
      </c>
      <c r="J52" s="6">
        <v>93</v>
      </c>
      <c r="K52" s="6">
        <v>37</v>
      </c>
      <c r="L52" s="6">
        <v>794</v>
      </c>
      <c r="M52" s="6">
        <v>415</v>
      </c>
      <c r="N52" s="6">
        <v>32</v>
      </c>
      <c r="O52" s="6">
        <v>13</v>
      </c>
      <c r="P52" s="6"/>
      <c r="Q52" s="294"/>
    </row>
    <row r="53" spans="1:17" s="228" customFormat="1" ht="18" customHeight="1">
      <c r="A53" s="274">
        <v>6</v>
      </c>
      <c r="B53" s="265" t="s">
        <v>607</v>
      </c>
      <c r="C53" s="6">
        <v>2059</v>
      </c>
      <c r="D53" s="6">
        <v>867</v>
      </c>
      <c r="E53" s="290">
        <f t="shared" si="7"/>
        <v>42.107819329771736</v>
      </c>
      <c r="F53" s="6">
        <f>D53</f>
        <v>867</v>
      </c>
      <c r="G53" s="290">
        <f t="shared" si="8"/>
        <v>42.107819329771736</v>
      </c>
      <c r="H53" s="6">
        <v>659</v>
      </c>
      <c r="I53" s="6">
        <v>659</v>
      </c>
      <c r="J53" s="6">
        <v>48</v>
      </c>
      <c r="K53" s="6">
        <v>26</v>
      </c>
      <c r="L53" s="6">
        <v>333</v>
      </c>
      <c r="M53" s="6">
        <v>113</v>
      </c>
      <c r="N53" s="6"/>
      <c r="O53" s="6"/>
      <c r="P53" s="6">
        <v>851</v>
      </c>
      <c r="Q53" s="294"/>
    </row>
    <row r="54" spans="1:17" s="228" customFormat="1" ht="18" customHeight="1">
      <c r="A54" s="274">
        <v>7</v>
      </c>
      <c r="B54" s="265" t="s">
        <v>608</v>
      </c>
      <c r="C54" s="6">
        <v>1944</v>
      </c>
      <c r="D54" s="6">
        <v>1202</v>
      </c>
      <c r="E54" s="290">
        <f t="shared" si="7"/>
        <v>61.83127572016461</v>
      </c>
      <c r="F54" s="6">
        <v>937</v>
      </c>
      <c r="G54" s="290">
        <f t="shared" si="8"/>
        <v>48.199588477366255</v>
      </c>
      <c r="H54" s="6">
        <v>488</v>
      </c>
      <c r="I54" s="6">
        <v>488</v>
      </c>
      <c r="J54" s="6">
        <v>243</v>
      </c>
      <c r="K54" s="6">
        <v>192</v>
      </c>
      <c r="L54" s="6">
        <v>262</v>
      </c>
      <c r="M54" s="6">
        <v>258</v>
      </c>
      <c r="N54" s="6">
        <v>25</v>
      </c>
      <c r="O54" s="6">
        <v>25</v>
      </c>
      <c r="P54" s="6">
        <v>408</v>
      </c>
      <c r="Q54" s="294"/>
    </row>
    <row r="55" spans="1:17" s="228" customFormat="1" ht="18" customHeight="1">
      <c r="A55" s="274">
        <v>8</v>
      </c>
      <c r="B55" s="265" t="s">
        <v>609</v>
      </c>
      <c r="C55" s="6">
        <v>2781</v>
      </c>
      <c r="D55" s="6">
        <v>1131</v>
      </c>
      <c r="E55" s="290">
        <f t="shared" si="7"/>
        <v>40.668824163969795</v>
      </c>
      <c r="F55" s="6">
        <v>1045</v>
      </c>
      <c r="G55" s="290">
        <f t="shared" si="8"/>
        <v>37.57641136281913</v>
      </c>
      <c r="H55" s="6">
        <v>1132</v>
      </c>
      <c r="I55" s="6">
        <v>1124</v>
      </c>
      <c r="J55" s="6">
        <v>214</v>
      </c>
      <c r="K55" s="6">
        <v>67</v>
      </c>
      <c r="L55" s="6">
        <v>63</v>
      </c>
      <c r="M55" s="6">
        <v>11</v>
      </c>
      <c r="N55" s="6"/>
      <c r="O55" s="6"/>
      <c r="P55" s="6">
        <v>1221</v>
      </c>
      <c r="Q55" s="294"/>
    </row>
    <row r="56" spans="1:17" s="228" customFormat="1" ht="18" customHeight="1">
      <c r="A56" s="274">
        <v>9</v>
      </c>
      <c r="B56" s="265" t="s">
        <v>153</v>
      </c>
      <c r="C56" s="6">
        <v>4248</v>
      </c>
      <c r="D56" s="6">
        <v>2595</v>
      </c>
      <c r="E56" s="290">
        <f t="shared" si="7"/>
        <v>61.08757062146892</v>
      </c>
      <c r="F56" s="6">
        <v>2117</v>
      </c>
      <c r="G56" s="290">
        <f t="shared" si="8"/>
        <v>49.835216572504706</v>
      </c>
      <c r="H56" s="6">
        <v>1111</v>
      </c>
      <c r="I56" s="6">
        <v>1101</v>
      </c>
      <c r="J56" s="6">
        <v>1639</v>
      </c>
      <c r="K56" s="6">
        <v>1387</v>
      </c>
      <c r="L56" s="6">
        <v>260</v>
      </c>
      <c r="M56" s="6">
        <v>98</v>
      </c>
      <c r="N56" s="6"/>
      <c r="O56" s="6"/>
      <c r="P56" s="6">
        <v>646</v>
      </c>
      <c r="Q56" s="294"/>
    </row>
    <row r="57" spans="1:17" s="228" customFormat="1" ht="18" customHeight="1">
      <c r="A57" s="274">
        <v>10</v>
      </c>
      <c r="B57" s="265" t="s">
        <v>610</v>
      </c>
      <c r="C57" s="6">
        <v>2433</v>
      </c>
      <c r="D57" s="6">
        <v>1356</v>
      </c>
      <c r="E57" s="290">
        <f t="shared" si="7"/>
        <v>55.73366214549939</v>
      </c>
      <c r="F57" s="6">
        <v>1063</v>
      </c>
      <c r="G57" s="290">
        <f t="shared" si="8"/>
        <v>43.690916563912864</v>
      </c>
      <c r="H57" s="6">
        <v>444</v>
      </c>
      <c r="I57" s="6">
        <v>444</v>
      </c>
      <c r="J57" s="6">
        <v>121</v>
      </c>
      <c r="K57" s="6">
        <v>82</v>
      </c>
      <c r="L57" s="6">
        <v>591</v>
      </c>
      <c r="M57" s="6">
        <v>538</v>
      </c>
      <c r="N57" s="6"/>
      <c r="O57" s="6"/>
      <c r="P57" s="6"/>
      <c r="Q57" s="294"/>
    </row>
    <row r="58" spans="1:17" s="228" customFormat="1" ht="18" customHeight="1">
      <c r="A58" s="274">
        <v>11</v>
      </c>
      <c r="B58" s="265" t="s">
        <v>611</v>
      </c>
      <c r="C58" s="6">
        <v>3312</v>
      </c>
      <c r="D58" s="6">
        <v>1689</v>
      </c>
      <c r="E58" s="290">
        <f t="shared" si="7"/>
        <v>50.9963768115942</v>
      </c>
      <c r="F58" s="6">
        <v>1374</v>
      </c>
      <c r="G58" s="290">
        <f t="shared" si="8"/>
        <v>41.48550724637681</v>
      </c>
      <c r="H58" s="6">
        <v>855</v>
      </c>
      <c r="I58" s="6">
        <v>855</v>
      </c>
      <c r="J58" s="6">
        <v>76</v>
      </c>
      <c r="K58" s="6">
        <v>62</v>
      </c>
      <c r="L58" s="6">
        <v>390</v>
      </c>
      <c r="M58" s="6">
        <v>247</v>
      </c>
      <c r="N58" s="6">
        <v>45</v>
      </c>
      <c r="O58" s="6">
        <v>20</v>
      </c>
      <c r="P58" s="6">
        <v>1078</v>
      </c>
      <c r="Q58" s="294"/>
    </row>
    <row r="59" spans="1:17" s="228" customFormat="1" ht="18" customHeight="1">
      <c r="A59" s="274">
        <v>12</v>
      </c>
      <c r="B59" s="265" t="s">
        <v>612</v>
      </c>
      <c r="C59" s="6">
        <v>1808</v>
      </c>
      <c r="D59" s="6">
        <v>690</v>
      </c>
      <c r="E59" s="290">
        <f t="shared" si="7"/>
        <v>38.163716814159294</v>
      </c>
      <c r="F59" s="6">
        <v>633</v>
      </c>
      <c r="G59" s="290">
        <f t="shared" si="8"/>
        <v>35.01106194690266</v>
      </c>
      <c r="H59" s="6">
        <v>469</v>
      </c>
      <c r="I59" s="6">
        <v>469</v>
      </c>
      <c r="J59" s="6">
        <v>5</v>
      </c>
      <c r="K59" s="6">
        <v>3</v>
      </c>
      <c r="L59" s="6">
        <v>218</v>
      </c>
      <c r="M59" s="6">
        <v>163</v>
      </c>
      <c r="N59" s="6">
        <v>1</v>
      </c>
      <c r="O59" s="6">
        <v>1</v>
      </c>
      <c r="P59" s="6">
        <v>996</v>
      </c>
      <c r="Q59" s="296"/>
    </row>
    <row r="60" spans="1:17" s="228" customFormat="1" ht="18" customHeight="1">
      <c r="A60" s="274">
        <v>13</v>
      </c>
      <c r="B60" s="265" t="s">
        <v>613</v>
      </c>
      <c r="C60" s="6">
        <v>2849</v>
      </c>
      <c r="D60" s="6">
        <v>1189</v>
      </c>
      <c r="E60" s="290">
        <f t="shared" si="7"/>
        <v>41.733941733941734</v>
      </c>
      <c r="F60" s="6">
        <v>1004</v>
      </c>
      <c r="G60" s="290">
        <f t="shared" si="8"/>
        <v>35.24043524043524</v>
      </c>
      <c r="H60" s="6">
        <v>442</v>
      </c>
      <c r="I60" s="6">
        <v>442</v>
      </c>
      <c r="J60" s="6">
        <v>588</v>
      </c>
      <c r="K60" s="6">
        <v>423</v>
      </c>
      <c r="L60" s="6">
        <v>314</v>
      </c>
      <c r="M60" s="6">
        <v>135</v>
      </c>
      <c r="N60" s="6">
        <v>27</v>
      </c>
      <c r="O60" s="6">
        <v>10</v>
      </c>
      <c r="P60" s="6">
        <v>1201</v>
      </c>
      <c r="Q60" s="297"/>
    </row>
    <row r="61" spans="1:17" s="228" customFormat="1" ht="18" customHeight="1">
      <c r="A61" s="274">
        <v>14</v>
      </c>
      <c r="B61" s="265" t="s">
        <v>614</v>
      </c>
      <c r="C61" s="6">
        <v>1316</v>
      </c>
      <c r="D61" s="6">
        <v>676</v>
      </c>
      <c r="E61" s="290">
        <f t="shared" si="7"/>
        <v>51.3677811550152</v>
      </c>
      <c r="F61" s="6">
        <v>627</v>
      </c>
      <c r="G61" s="290">
        <f t="shared" si="8"/>
        <v>47.64437689969605</v>
      </c>
      <c r="H61" s="6">
        <v>415</v>
      </c>
      <c r="I61" s="6">
        <v>415</v>
      </c>
      <c r="J61" s="6">
        <v>88</v>
      </c>
      <c r="K61" s="6">
        <v>44</v>
      </c>
      <c r="L61" s="6">
        <v>327</v>
      </c>
      <c r="M61" s="6">
        <v>164</v>
      </c>
      <c r="N61" s="6"/>
      <c r="O61" s="6"/>
      <c r="P61" s="6">
        <v>435</v>
      </c>
      <c r="Q61" s="297"/>
    </row>
    <row r="62" spans="1:17" s="228" customFormat="1" ht="18" customHeight="1">
      <c r="A62" s="274">
        <v>15</v>
      </c>
      <c r="B62" s="265" t="s">
        <v>615</v>
      </c>
      <c r="C62" s="6">
        <v>1168</v>
      </c>
      <c r="D62" s="6">
        <v>633</v>
      </c>
      <c r="E62" s="290">
        <f t="shared" si="7"/>
        <v>54.195205479452056</v>
      </c>
      <c r="F62" s="6">
        <v>577</v>
      </c>
      <c r="G62" s="290">
        <f t="shared" si="8"/>
        <v>49.40068493150685</v>
      </c>
      <c r="H62" s="6">
        <v>381</v>
      </c>
      <c r="I62" s="6">
        <v>380</v>
      </c>
      <c r="J62" s="6">
        <v>5</v>
      </c>
      <c r="K62" s="6">
        <v>5</v>
      </c>
      <c r="L62" s="6">
        <v>197</v>
      </c>
      <c r="M62" s="6">
        <v>181</v>
      </c>
      <c r="N62" s="6"/>
      <c r="O62" s="6"/>
      <c r="P62" s="6">
        <v>465</v>
      </c>
      <c r="Q62" s="297"/>
    </row>
    <row r="63" spans="1:17" s="228" customFormat="1" ht="18" customHeight="1">
      <c r="A63" s="274">
        <v>16</v>
      </c>
      <c r="B63" s="265" t="s">
        <v>616</v>
      </c>
      <c r="C63" s="6">
        <v>2662</v>
      </c>
      <c r="D63" s="6">
        <v>667</v>
      </c>
      <c r="E63" s="290">
        <f t="shared" si="7"/>
        <v>25.05634861006762</v>
      </c>
      <c r="F63" s="6">
        <v>575</v>
      </c>
      <c r="G63" s="290">
        <f t="shared" si="8"/>
        <v>21.60030052592036</v>
      </c>
      <c r="H63" s="6">
        <v>545</v>
      </c>
      <c r="I63" s="6">
        <v>545</v>
      </c>
      <c r="J63" s="6">
        <v>42</v>
      </c>
      <c r="K63" s="6">
        <v>35</v>
      </c>
      <c r="L63" s="6">
        <v>43</v>
      </c>
      <c r="M63" s="6">
        <v>38</v>
      </c>
      <c r="N63" s="6">
        <v>4</v>
      </c>
      <c r="O63" s="6">
        <v>4</v>
      </c>
      <c r="P63" s="6">
        <v>1798</v>
      </c>
      <c r="Q63" s="297"/>
    </row>
    <row r="64" spans="1:17" s="228" customFormat="1" ht="18" customHeight="1">
      <c r="A64" s="274">
        <v>17</v>
      </c>
      <c r="B64" s="265" t="s">
        <v>154</v>
      </c>
      <c r="C64" s="6">
        <v>1645</v>
      </c>
      <c r="D64" s="6">
        <v>1312</v>
      </c>
      <c r="E64" s="290">
        <f t="shared" si="7"/>
        <v>79.75683890577507</v>
      </c>
      <c r="F64" s="6">
        <v>1306</v>
      </c>
      <c r="G64" s="290">
        <f t="shared" si="8"/>
        <v>79.3920972644377</v>
      </c>
      <c r="H64" s="6">
        <v>1191</v>
      </c>
      <c r="I64" s="6">
        <v>1181</v>
      </c>
      <c r="J64" s="6">
        <v>74</v>
      </c>
      <c r="K64" s="6">
        <v>48</v>
      </c>
      <c r="L64" s="6">
        <v>109</v>
      </c>
      <c r="M64" s="6">
        <v>77</v>
      </c>
      <c r="N64" s="6"/>
      <c r="O64" s="6"/>
      <c r="P64" s="6">
        <v>564</v>
      </c>
      <c r="Q64" s="297"/>
    </row>
    <row r="65" spans="1:17" s="228" customFormat="1" ht="18" customHeight="1">
      <c r="A65" s="274">
        <v>18</v>
      </c>
      <c r="B65" s="265" t="s">
        <v>617</v>
      </c>
      <c r="C65" s="6">
        <v>1684</v>
      </c>
      <c r="D65" s="6">
        <v>903</v>
      </c>
      <c r="E65" s="290">
        <f t="shared" si="7"/>
        <v>53.62232779097387</v>
      </c>
      <c r="F65" s="6">
        <v>864</v>
      </c>
      <c r="G65" s="290">
        <f t="shared" si="8"/>
        <v>51.306413301662715</v>
      </c>
      <c r="H65" s="6">
        <v>395</v>
      </c>
      <c r="I65" s="6">
        <v>395</v>
      </c>
      <c r="J65" s="6">
        <v>62</v>
      </c>
      <c r="K65" s="6">
        <v>62</v>
      </c>
      <c r="L65" s="6">
        <v>353</v>
      </c>
      <c r="M65" s="6">
        <v>353</v>
      </c>
      <c r="N65" s="6">
        <v>13</v>
      </c>
      <c r="O65" s="6">
        <v>13</v>
      </c>
      <c r="P65" s="6">
        <v>809</v>
      </c>
      <c r="Q65" s="297"/>
    </row>
    <row r="66" spans="1:17" s="228" customFormat="1" ht="18" customHeight="1">
      <c r="A66" s="274">
        <v>19</v>
      </c>
      <c r="B66" s="265" t="s">
        <v>562</v>
      </c>
      <c r="C66" s="6">
        <v>2735</v>
      </c>
      <c r="D66" s="6">
        <v>1957</v>
      </c>
      <c r="E66" s="290">
        <f t="shared" si="7"/>
        <v>71.55393053016454</v>
      </c>
      <c r="F66" s="6">
        <v>1942</v>
      </c>
      <c r="G66" s="290">
        <f t="shared" si="8"/>
        <v>71.0054844606947</v>
      </c>
      <c r="H66" s="6">
        <v>738</v>
      </c>
      <c r="I66" s="6">
        <v>738</v>
      </c>
      <c r="J66" s="6">
        <v>22</v>
      </c>
      <c r="K66" s="6">
        <v>18</v>
      </c>
      <c r="L66" s="6">
        <v>551</v>
      </c>
      <c r="M66" s="6">
        <v>451</v>
      </c>
      <c r="N66" s="6">
        <v>2</v>
      </c>
      <c r="O66" s="6">
        <v>1</v>
      </c>
      <c r="P66" s="6">
        <v>1204</v>
      </c>
      <c r="Q66" s="297"/>
    </row>
    <row r="67" spans="1:17" s="228" customFormat="1" ht="18" customHeight="1">
      <c r="A67" s="274">
        <v>20</v>
      </c>
      <c r="B67" s="265" t="s">
        <v>618</v>
      </c>
      <c r="C67" s="6">
        <v>2793</v>
      </c>
      <c r="D67" s="6">
        <v>1201</v>
      </c>
      <c r="E67" s="290">
        <f t="shared" si="7"/>
        <v>43.000358037952026</v>
      </c>
      <c r="F67" s="6">
        <v>1100</v>
      </c>
      <c r="G67" s="290">
        <f t="shared" si="8"/>
        <v>39.38417472252059</v>
      </c>
      <c r="H67" s="6">
        <v>607</v>
      </c>
      <c r="I67" s="6">
        <v>590</v>
      </c>
      <c r="J67" s="6">
        <v>65</v>
      </c>
      <c r="K67" s="6">
        <v>49</v>
      </c>
      <c r="L67" s="6">
        <v>459</v>
      </c>
      <c r="M67" s="6">
        <v>458</v>
      </c>
      <c r="N67" s="6">
        <v>6</v>
      </c>
      <c r="O67" s="6">
        <v>3</v>
      </c>
      <c r="P67" s="6">
        <v>1324</v>
      </c>
      <c r="Q67" s="297"/>
    </row>
    <row r="68" spans="1:17" s="228" customFormat="1" ht="18" customHeight="1">
      <c r="A68" s="274">
        <v>21</v>
      </c>
      <c r="B68" s="265" t="s">
        <v>619</v>
      </c>
      <c r="C68" s="6">
        <v>2513</v>
      </c>
      <c r="D68" s="6">
        <v>1538</v>
      </c>
      <c r="E68" s="290">
        <f t="shared" si="7"/>
        <v>61.20175089534421</v>
      </c>
      <c r="F68" s="6">
        <v>1389</v>
      </c>
      <c r="G68" s="290">
        <f t="shared" si="8"/>
        <v>55.272582570632714</v>
      </c>
      <c r="H68" s="6">
        <v>753</v>
      </c>
      <c r="I68" s="6">
        <v>750</v>
      </c>
      <c r="J68" s="6">
        <v>657</v>
      </c>
      <c r="K68" s="6">
        <v>525</v>
      </c>
      <c r="L68" s="6">
        <v>305</v>
      </c>
      <c r="M68" s="6">
        <v>167</v>
      </c>
      <c r="N68" s="6">
        <v>23</v>
      </c>
      <c r="O68" s="6">
        <v>16</v>
      </c>
      <c r="P68" s="6">
        <v>562</v>
      </c>
      <c r="Q68" s="297"/>
    </row>
    <row r="69" spans="1:17" s="228" customFormat="1" ht="18" customHeight="1">
      <c r="A69" s="274">
        <v>22</v>
      </c>
      <c r="B69" s="265" t="s">
        <v>620</v>
      </c>
      <c r="C69" s="6">
        <v>1689</v>
      </c>
      <c r="D69" s="6">
        <v>1330</v>
      </c>
      <c r="E69" s="290">
        <f t="shared" si="7"/>
        <v>78.74481941977501</v>
      </c>
      <c r="F69" s="6">
        <v>1140</v>
      </c>
      <c r="G69" s="290">
        <f t="shared" si="8"/>
        <v>67.49555950266429</v>
      </c>
      <c r="H69" s="6">
        <v>713</v>
      </c>
      <c r="I69" s="6">
        <v>699</v>
      </c>
      <c r="J69" s="6">
        <v>88</v>
      </c>
      <c r="K69" s="6">
        <v>81</v>
      </c>
      <c r="L69" s="6">
        <v>529</v>
      </c>
      <c r="M69" s="6">
        <v>360</v>
      </c>
      <c r="N69" s="6"/>
      <c r="O69" s="6"/>
      <c r="P69" s="6"/>
      <c r="Q69" s="297"/>
    </row>
    <row r="70" spans="1:17" s="228" customFormat="1" ht="18" customHeight="1">
      <c r="A70" s="274">
        <v>23</v>
      </c>
      <c r="B70" s="265" t="s">
        <v>621</v>
      </c>
      <c r="C70" s="6">
        <v>2021</v>
      </c>
      <c r="D70" s="6">
        <v>1531</v>
      </c>
      <c r="E70" s="290">
        <f t="shared" si="7"/>
        <v>75.75457694210786</v>
      </c>
      <c r="F70" s="6">
        <v>1443</v>
      </c>
      <c r="G70" s="290">
        <f t="shared" si="8"/>
        <v>71.40029688273131</v>
      </c>
      <c r="H70" s="6">
        <v>780</v>
      </c>
      <c r="I70" s="6">
        <v>780</v>
      </c>
      <c r="J70" s="6">
        <v>21</v>
      </c>
      <c r="K70" s="6">
        <v>21</v>
      </c>
      <c r="L70" s="6">
        <v>657</v>
      </c>
      <c r="M70" s="6">
        <v>642</v>
      </c>
      <c r="N70" s="6"/>
      <c r="O70" s="6"/>
      <c r="P70" s="6">
        <v>541</v>
      </c>
      <c r="Q70" s="297"/>
    </row>
    <row r="71" spans="1:17" s="289" customFormat="1" ht="18" customHeight="1">
      <c r="A71" s="275" t="s">
        <v>44</v>
      </c>
      <c r="B71" s="292" t="s">
        <v>622</v>
      </c>
      <c r="C71" s="170">
        <f>SUM(C72:C89)</f>
        <v>34929</v>
      </c>
      <c r="D71" s="170">
        <f aca="true" t="shared" si="9" ref="D71:P71">SUM(D72:D89)</f>
        <v>23504</v>
      </c>
      <c r="E71" s="170">
        <v>67.3</v>
      </c>
      <c r="F71" s="170">
        <f t="shared" si="9"/>
        <v>22211</v>
      </c>
      <c r="G71" s="170">
        <v>63.6</v>
      </c>
      <c r="H71" s="170">
        <f t="shared" si="9"/>
        <v>14577</v>
      </c>
      <c r="I71" s="170">
        <f t="shared" si="9"/>
        <v>12912</v>
      </c>
      <c r="J71" s="170">
        <f t="shared" si="9"/>
        <v>2503</v>
      </c>
      <c r="K71" s="170">
        <f t="shared" si="9"/>
        <v>2415</v>
      </c>
      <c r="L71" s="170">
        <f t="shared" si="9"/>
        <v>7475</v>
      </c>
      <c r="M71" s="170">
        <f t="shared" si="9"/>
        <v>4991</v>
      </c>
      <c r="N71" s="170">
        <f t="shared" si="9"/>
        <v>303</v>
      </c>
      <c r="O71" s="170">
        <f t="shared" si="9"/>
        <v>261</v>
      </c>
      <c r="P71" s="170">
        <f t="shared" si="9"/>
        <v>5985</v>
      </c>
      <c r="Q71" s="296"/>
    </row>
    <row r="72" spans="1:17" s="228" customFormat="1" ht="18" customHeight="1">
      <c r="A72" s="274">
        <v>1</v>
      </c>
      <c r="B72" s="265" t="s">
        <v>623</v>
      </c>
      <c r="C72" s="6">
        <v>1595</v>
      </c>
      <c r="D72" s="6">
        <v>1259</v>
      </c>
      <c r="E72" s="290">
        <f>D72/C72*100</f>
        <v>78.93416927899686</v>
      </c>
      <c r="F72" s="6">
        <v>1033</v>
      </c>
      <c r="G72" s="290">
        <f>F72/C72*100</f>
        <v>64.76489028213166</v>
      </c>
      <c r="H72" s="6">
        <v>779</v>
      </c>
      <c r="I72" s="6">
        <v>761</v>
      </c>
      <c r="J72" s="6">
        <v>248</v>
      </c>
      <c r="K72" s="6">
        <v>199</v>
      </c>
      <c r="L72" s="6">
        <v>215</v>
      </c>
      <c r="M72" s="6">
        <v>93</v>
      </c>
      <c r="N72" s="6">
        <v>6</v>
      </c>
      <c r="O72" s="6">
        <v>6</v>
      </c>
      <c r="P72" s="6">
        <v>80</v>
      </c>
      <c r="Q72" s="297"/>
    </row>
    <row r="73" spans="1:17" s="228" customFormat="1" ht="18" customHeight="1">
      <c r="A73" s="274">
        <v>2</v>
      </c>
      <c r="B73" s="265" t="s">
        <v>624</v>
      </c>
      <c r="C73" s="6">
        <v>1314</v>
      </c>
      <c r="D73" s="6">
        <v>879</v>
      </c>
      <c r="E73" s="290">
        <f aca="true" t="shared" si="10" ref="E73:E89">D73/C73*100</f>
        <v>66.89497716894978</v>
      </c>
      <c r="F73" s="6">
        <v>761</v>
      </c>
      <c r="G73" s="290">
        <f aca="true" t="shared" si="11" ref="G73:G89">F73/C73*100</f>
        <v>57.91476407914764</v>
      </c>
      <c r="H73" s="6">
        <v>654</v>
      </c>
      <c r="I73" s="6">
        <v>616</v>
      </c>
      <c r="J73" s="6">
        <v>429</v>
      </c>
      <c r="K73" s="6">
        <v>200</v>
      </c>
      <c r="L73" s="6">
        <v>100</v>
      </c>
      <c r="M73" s="6">
        <v>6</v>
      </c>
      <c r="N73" s="6">
        <v>34</v>
      </c>
      <c r="O73" s="6"/>
      <c r="P73" s="6">
        <v>45</v>
      </c>
      <c r="Q73" s="297"/>
    </row>
    <row r="74" spans="1:17" s="228" customFormat="1" ht="18" customHeight="1">
      <c r="A74" s="274">
        <v>3</v>
      </c>
      <c r="B74" s="265" t="s">
        <v>625</v>
      </c>
      <c r="C74" s="6">
        <v>2267</v>
      </c>
      <c r="D74" s="6">
        <v>1361</v>
      </c>
      <c r="E74" s="290">
        <f t="shared" si="10"/>
        <v>60.03528892809881</v>
      </c>
      <c r="F74" s="6">
        <v>1122</v>
      </c>
      <c r="G74" s="290">
        <f t="shared" si="11"/>
        <v>49.49272165857962</v>
      </c>
      <c r="H74" s="6">
        <v>1050</v>
      </c>
      <c r="I74" s="6">
        <v>961</v>
      </c>
      <c r="J74" s="6">
        <v>151</v>
      </c>
      <c r="K74" s="6">
        <v>95</v>
      </c>
      <c r="L74" s="6">
        <v>106</v>
      </c>
      <c r="M74" s="6">
        <v>66</v>
      </c>
      <c r="N74" s="6"/>
      <c r="O74" s="6"/>
      <c r="P74" s="6">
        <v>562</v>
      </c>
      <c r="Q74" s="297"/>
    </row>
    <row r="75" spans="1:17" s="228" customFormat="1" ht="18" customHeight="1">
      <c r="A75" s="274">
        <v>4</v>
      </c>
      <c r="B75" s="265" t="s">
        <v>558</v>
      </c>
      <c r="C75" s="6">
        <v>4308</v>
      </c>
      <c r="D75" s="6">
        <v>3495</v>
      </c>
      <c r="E75" s="290">
        <f t="shared" si="10"/>
        <v>81.12813370473538</v>
      </c>
      <c r="F75" s="6">
        <v>3681</v>
      </c>
      <c r="G75" s="290">
        <f t="shared" si="11"/>
        <v>85.44568245125348</v>
      </c>
      <c r="H75" s="6">
        <v>1641</v>
      </c>
      <c r="I75" s="6">
        <v>1625</v>
      </c>
      <c r="J75" s="6">
        <v>278</v>
      </c>
      <c r="K75" s="6">
        <v>236</v>
      </c>
      <c r="L75" s="6">
        <v>1267</v>
      </c>
      <c r="M75" s="6">
        <v>1131</v>
      </c>
      <c r="N75" s="6">
        <v>201</v>
      </c>
      <c r="O75" s="6">
        <v>195</v>
      </c>
      <c r="P75" s="6">
        <v>387</v>
      </c>
      <c r="Q75" s="297"/>
    </row>
    <row r="76" spans="1:17" s="228" customFormat="1" ht="18" customHeight="1">
      <c r="A76" s="274">
        <v>5</v>
      </c>
      <c r="B76" s="265" t="s">
        <v>551</v>
      </c>
      <c r="C76" s="6">
        <v>927</v>
      </c>
      <c r="D76" s="6">
        <v>432</v>
      </c>
      <c r="E76" s="290">
        <f t="shared" si="10"/>
        <v>46.601941747572816</v>
      </c>
      <c r="F76" s="6">
        <v>423</v>
      </c>
      <c r="G76" s="290">
        <f t="shared" si="11"/>
        <v>45.63106796116505</v>
      </c>
      <c r="H76" s="6">
        <v>411</v>
      </c>
      <c r="I76" s="6">
        <v>404</v>
      </c>
      <c r="J76" s="6">
        <v>3</v>
      </c>
      <c r="K76" s="6">
        <v>3</v>
      </c>
      <c r="L76" s="6">
        <v>52</v>
      </c>
      <c r="M76" s="6">
        <v>22</v>
      </c>
      <c r="N76" s="6"/>
      <c r="O76" s="6"/>
      <c r="P76" s="6">
        <v>455</v>
      </c>
      <c r="Q76" s="297"/>
    </row>
    <row r="77" spans="1:17" s="228" customFormat="1" ht="18" customHeight="1">
      <c r="A77" s="274">
        <v>6</v>
      </c>
      <c r="B77" s="265" t="s">
        <v>626</v>
      </c>
      <c r="C77" s="6">
        <v>2358</v>
      </c>
      <c r="D77" s="6">
        <v>1721</v>
      </c>
      <c r="E77" s="290">
        <f t="shared" si="10"/>
        <v>72.98558100084817</v>
      </c>
      <c r="F77" s="6">
        <v>1603</v>
      </c>
      <c r="G77" s="290">
        <f t="shared" si="11"/>
        <v>67.9813401187447</v>
      </c>
      <c r="H77" s="6">
        <v>1124</v>
      </c>
      <c r="I77" s="6">
        <v>1091</v>
      </c>
      <c r="J77" s="6">
        <v>20</v>
      </c>
      <c r="K77" s="6">
        <v>18</v>
      </c>
      <c r="L77" s="6">
        <v>935</v>
      </c>
      <c r="M77" s="6">
        <v>494</v>
      </c>
      <c r="N77" s="6"/>
      <c r="O77" s="6"/>
      <c r="P77" s="6">
        <v>442</v>
      </c>
      <c r="Q77" s="297"/>
    </row>
    <row r="78" spans="1:17" s="228" customFormat="1" ht="18" customHeight="1">
      <c r="A78" s="274">
        <v>7</v>
      </c>
      <c r="B78" s="265" t="s">
        <v>627</v>
      </c>
      <c r="C78" s="6">
        <v>1518</v>
      </c>
      <c r="D78" s="6">
        <v>727</v>
      </c>
      <c r="E78" s="290">
        <f t="shared" si="10"/>
        <v>47.891963109354414</v>
      </c>
      <c r="F78" s="6">
        <v>606</v>
      </c>
      <c r="G78" s="290">
        <f t="shared" si="11"/>
        <v>39.920948616600796</v>
      </c>
      <c r="H78" s="6">
        <v>486</v>
      </c>
      <c r="I78" s="6">
        <v>474</v>
      </c>
      <c r="J78" s="6">
        <v>143</v>
      </c>
      <c r="K78" s="6">
        <v>112</v>
      </c>
      <c r="L78" s="6">
        <v>19</v>
      </c>
      <c r="M78" s="6">
        <v>17</v>
      </c>
      <c r="N78" s="6">
        <v>4</v>
      </c>
      <c r="O78" s="6">
        <v>4</v>
      </c>
      <c r="P78" s="6">
        <v>675</v>
      </c>
      <c r="Q78" s="297"/>
    </row>
    <row r="79" spans="1:17" s="228" customFormat="1" ht="18" customHeight="1">
      <c r="A79" s="274">
        <v>8</v>
      </c>
      <c r="B79" s="265" t="s">
        <v>561</v>
      </c>
      <c r="C79" s="6">
        <v>1722</v>
      </c>
      <c r="D79" s="6">
        <v>1223</v>
      </c>
      <c r="E79" s="290">
        <f t="shared" si="10"/>
        <v>71.02206736353078</v>
      </c>
      <c r="F79" s="6">
        <v>1223</v>
      </c>
      <c r="G79" s="290">
        <f t="shared" si="11"/>
        <v>71.02206736353078</v>
      </c>
      <c r="H79" s="6">
        <v>950</v>
      </c>
      <c r="I79" s="6">
        <v>946</v>
      </c>
      <c r="J79" s="6">
        <v>180</v>
      </c>
      <c r="K79" s="6">
        <v>165</v>
      </c>
      <c r="L79" s="6">
        <v>172</v>
      </c>
      <c r="M79" s="6">
        <v>108</v>
      </c>
      <c r="N79" s="6">
        <v>4</v>
      </c>
      <c r="O79" s="6">
        <v>4</v>
      </c>
      <c r="P79" s="6">
        <v>151</v>
      </c>
      <c r="Q79" s="298"/>
    </row>
    <row r="80" spans="1:17" s="228" customFormat="1" ht="18" customHeight="1">
      <c r="A80" s="274">
        <v>9</v>
      </c>
      <c r="B80" s="265" t="s">
        <v>628</v>
      </c>
      <c r="C80" s="6">
        <v>1445</v>
      </c>
      <c r="D80" s="6">
        <v>689</v>
      </c>
      <c r="E80" s="290">
        <f t="shared" si="10"/>
        <v>47.68166089965398</v>
      </c>
      <c r="F80" s="6">
        <v>689</v>
      </c>
      <c r="G80" s="290">
        <f t="shared" si="11"/>
        <v>47.68166089965398</v>
      </c>
      <c r="H80" s="6">
        <v>520</v>
      </c>
      <c r="I80" s="6">
        <v>520</v>
      </c>
      <c r="J80" s="6">
        <v>50</v>
      </c>
      <c r="K80" s="6">
        <v>50</v>
      </c>
      <c r="L80" s="6">
        <v>158</v>
      </c>
      <c r="M80" s="6">
        <v>119</v>
      </c>
      <c r="N80" s="6">
        <v>9</v>
      </c>
      <c r="O80" s="6">
        <v>9</v>
      </c>
      <c r="P80" s="6">
        <v>682</v>
      </c>
      <c r="Q80" s="297"/>
    </row>
    <row r="81" spans="1:17" s="228" customFormat="1" ht="18" customHeight="1">
      <c r="A81" s="274">
        <v>10</v>
      </c>
      <c r="B81" s="265" t="s">
        <v>629</v>
      </c>
      <c r="C81" s="6">
        <v>2159</v>
      </c>
      <c r="D81" s="6">
        <v>1214</v>
      </c>
      <c r="E81" s="290">
        <f t="shared" si="10"/>
        <v>56.229735988883746</v>
      </c>
      <c r="F81" s="6">
        <v>1155</v>
      </c>
      <c r="G81" s="290">
        <f t="shared" si="11"/>
        <v>53.49698934691987</v>
      </c>
      <c r="H81" s="6">
        <v>1012</v>
      </c>
      <c r="I81" s="6">
        <v>983</v>
      </c>
      <c r="J81" s="6">
        <v>42</v>
      </c>
      <c r="K81" s="6">
        <v>35</v>
      </c>
      <c r="L81" s="6">
        <v>429</v>
      </c>
      <c r="M81" s="6">
        <v>305</v>
      </c>
      <c r="N81" s="6">
        <v>1</v>
      </c>
      <c r="O81" s="6"/>
      <c r="P81" s="6">
        <v>637</v>
      </c>
      <c r="Q81" s="297"/>
    </row>
    <row r="82" spans="1:17" s="228" customFormat="1" ht="18" customHeight="1">
      <c r="A82" s="274">
        <v>11</v>
      </c>
      <c r="B82" s="265" t="s">
        <v>630</v>
      </c>
      <c r="C82" s="6">
        <v>1712</v>
      </c>
      <c r="D82" s="6">
        <v>1350</v>
      </c>
      <c r="E82" s="290">
        <f t="shared" si="10"/>
        <v>78.85514018691589</v>
      </c>
      <c r="F82" s="6">
        <v>1327</v>
      </c>
      <c r="G82" s="290">
        <f t="shared" si="11"/>
        <v>77.51168224299066</v>
      </c>
      <c r="H82" s="6">
        <v>796</v>
      </c>
      <c r="I82" s="6">
        <v>796</v>
      </c>
      <c r="J82" s="6">
        <v>88</v>
      </c>
      <c r="K82" s="6">
        <v>85</v>
      </c>
      <c r="L82" s="6">
        <v>549</v>
      </c>
      <c r="M82" s="6">
        <v>438</v>
      </c>
      <c r="N82" s="6">
        <v>8</v>
      </c>
      <c r="O82" s="6">
        <v>8</v>
      </c>
      <c r="P82" s="6">
        <v>345</v>
      </c>
      <c r="Q82" s="296"/>
    </row>
    <row r="83" spans="1:17" s="228" customFormat="1" ht="18" customHeight="1">
      <c r="A83" s="274">
        <v>12</v>
      </c>
      <c r="B83" s="265" t="s">
        <v>542</v>
      </c>
      <c r="C83" s="6">
        <v>1053</v>
      </c>
      <c r="D83" s="6">
        <v>1035</v>
      </c>
      <c r="E83" s="290">
        <f t="shared" si="10"/>
        <v>98.29059829059828</v>
      </c>
      <c r="F83" s="6">
        <v>1035</v>
      </c>
      <c r="G83" s="290">
        <f t="shared" si="11"/>
        <v>98.29059829059828</v>
      </c>
      <c r="H83" s="6">
        <v>561</v>
      </c>
      <c r="I83" s="6">
        <v>561</v>
      </c>
      <c r="J83" s="6">
        <v>392</v>
      </c>
      <c r="K83" s="6">
        <v>389</v>
      </c>
      <c r="L83" s="6">
        <v>86</v>
      </c>
      <c r="M83" s="6">
        <v>79</v>
      </c>
      <c r="N83" s="6"/>
      <c r="O83" s="6"/>
      <c r="P83" s="6"/>
      <c r="Q83" s="297"/>
    </row>
    <row r="84" spans="1:17" s="228" customFormat="1" ht="18" customHeight="1">
      <c r="A84" s="274">
        <v>13</v>
      </c>
      <c r="B84" s="265" t="s">
        <v>216</v>
      </c>
      <c r="C84" s="6">
        <v>2134</v>
      </c>
      <c r="D84" s="6">
        <v>1115</v>
      </c>
      <c r="E84" s="290">
        <f t="shared" si="10"/>
        <v>52.24929709465792</v>
      </c>
      <c r="F84" s="6">
        <v>1118</v>
      </c>
      <c r="G84" s="290">
        <f t="shared" si="11"/>
        <v>52.389878163074044</v>
      </c>
      <c r="H84" s="6">
        <v>775</v>
      </c>
      <c r="I84" s="6">
        <v>763</v>
      </c>
      <c r="J84" s="6">
        <v>58</v>
      </c>
      <c r="K84" s="6">
        <v>30</v>
      </c>
      <c r="L84" s="6">
        <v>480</v>
      </c>
      <c r="M84" s="6">
        <v>317</v>
      </c>
      <c r="N84" s="6"/>
      <c r="O84" s="6"/>
      <c r="P84" s="6">
        <v>288</v>
      </c>
      <c r="Q84" s="297"/>
    </row>
    <row r="85" spans="1:17" s="228" customFormat="1" ht="18" customHeight="1">
      <c r="A85" s="274">
        <v>14</v>
      </c>
      <c r="B85" s="265" t="s">
        <v>631</v>
      </c>
      <c r="C85" s="6">
        <v>1313</v>
      </c>
      <c r="D85" s="6">
        <v>832</v>
      </c>
      <c r="E85" s="290">
        <f t="shared" si="10"/>
        <v>63.366336633663366</v>
      </c>
      <c r="F85" s="6">
        <v>721</v>
      </c>
      <c r="G85" s="290">
        <f t="shared" si="11"/>
        <v>54.912414318354905</v>
      </c>
      <c r="H85" s="6">
        <v>547</v>
      </c>
      <c r="I85" s="6">
        <v>535</v>
      </c>
      <c r="J85" s="6">
        <v>54</v>
      </c>
      <c r="K85" s="6">
        <v>21</v>
      </c>
      <c r="L85" s="6">
        <v>355</v>
      </c>
      <c r="M85" s="6">
        <v>164</v>
      </c>
      <c r="N85" s="6">
        <v>1</v>
      </c>
      <c r="O85" s="6">
        <v>1</v>
      </c>
      <c r="P85" s="6">
        <v>177</v>
      </c>
      <c r="Q85" s="297"/>
    </row>
    <row r="86" spans="1:17" s="228" customFormat="1" ht="18" customHeight="1">
      <c r="A86" s="274">
        <v>15</v>
      </c>
      <c r="B86" s="265" t="s">
        <v>553</v>
      </c>
      <c r="C86" s="6">
        <v>743</v>
      </c>
      <c r="D86" s="6">
        <v>588</v>
      </c>
      <c r="E86" s="290">
        <f t="shared" si="10"/>
        <v>79.13862718707941</v>
      </c>
      <c r="F86" s="6">
        <v>582</v>
      </c>
      <c r="G86" s="290">
        <f t="shared" si="11"/>
        <v>78.33109017496636</v>
      </c>
      <c r="H86" s="6">
        <v>340</v>
      </c>
      <c r="I86" s="6">
        <v>336</v>
      </c>
      <c r="J86" s="6">
        <v>80</v>
      </c>
      <c r="K86" s="6">
        <v>69</v>
      </c>
      <c r="L86" s="6">
        <v>272</v>
      </c>
      <c r="M86" s="6">
        <v>177</v>
      </c>
      <c r="N86" s="6"/>
      <c r="O86" s="6"/>
      <c r="P86" s="6">
        <v>39</v>
      </c>
      <c r="Q86" s="296"/>
    </row>
    <row r="87" spans="1:17" s="228" customFormat="1" ht="18" customHeight="1">
      <c r="A87" s="274">
        <v>16</v>
      </c>
      <c r="B87" s="265" t="s">
        <v>560</v>
      </c>
      <c r="C87" s="6">
        <v>2450</v>
      </c>
      <c r="D87" s="6">
        <v>2135</v>
      </c>
      <c r="E87" s="290">
        <f t="shared" si="10"/>
        <v>87.14285714285714</v>
      </c>
      <c r="F87" s="6">
        <v>1841</v>
      </c>
      <c r="G87" s="290">
        <f t="shared" si="11"/>
        <v>75.14285714285714</v>
      </c>
      <c r="H87" s="6">
        <v>805</v>
      </c>
      <c r="I87" s="6">
        <v>796</v>
      </c>
      <c r="J87" s="6">
        <v>81</v>
      </c>
      <c r="K87" s="6">
        <v>79</v>
      </c>
      <c r="L87" s="6">
        <v>1232</v>
      </c>
      <c r="M87" s="6">
        <v>946</v>
      </c>
      <c r="N87" s="6">
        <v>2</v>
      </c>
      <c r="O87" s="6">
        <v>2</v>
      </c>
      <c r="P87" s="6">
        <v>10</v>
      </c>
      <c r="Q87" s="294"/>
    </row>
    <row r="88" spans="1:17" s="228" customFormat="1" ht="18" customHeight="1">
      <c r="A88" s="274">
        <v>17</v>
      </c>
      <c r="B88" s="265" t="s">
        <v>632</v>
      </c>
      <c r="C88" s="6">
        <v>3431</v>
      </c>
      <c r="D88" s="6">
        <v>2090</v>
      </c>
      <c r="E88" s="290">
        <f t="shared" si="10"/>
        <v>60.915185077236956</v>
      </c>
      <c r="F88" s="6">
        <v>2040</v>
      </c>
      <c r="G88" s="290">
        <f t="shared" si="11"/>
        <v>59.45788399883416</v>
      </c>
      <c r="H88" s="6">
        <v>1472</v>
      </c>
      <c r="I88" s="6">
        <v>90</v>
      </c>
      <c r="J88" s="6">
        <v>88</v>
      </c>
      <c r="K88" s="6">
        <v>517</v>
      </c>
      <c r="L88" s="6">
        <v>403</v>
      </c>
      <c r="M88" s="6">
        <v>28</v>
      </c>
      <c r="N88" s="6">
        <v>28</v>
      </c>
      <c r="O88" s="6">
        <v>28</v>
      </c>
      <c r="P88" s="6"/>
      <c r="Q88" s="294"/>
    </row>
    <row r="89" spans="1:17" s="228" customFormat="1" ht="18" customHeight="1">
      <c r="A89" s="274">
        <v>18</v>
      </c>
      <c r="B89" s="265" t="s">
        <v>155</v>
      </c>
      <c r="C89" s="6">
        <v>2480</v>
      </c>
      <c r="D89" s="6">
        <v>1359</v>
      </c>
      <c r="E89" s="290">
        <f t="shared" si="10"/>
        <v>54.79838709677419</v>
      </c>
      <c r="F89" s="6">
        <v>1251</v>
      </c>
      <c r="G89" s="290">
        <f t="shared" si="11"/>
        <v>50.44354838709677</v>
      </c>
      <c r="H89" s="6">
        <v>654</v>
      </c>
      <c r="I89" s="6">
        <v>654</v>
      </c>
      <c r="J89" s="6">
        <v>118</v>
      </c>
      <c r="K89" s="6">
        <v>112</v>
      </c>
      <c r="L89" s="6">
        <v>645</v>
      </c>
      <c r="M89" s="6">
        <v>481</v>
      </c>
      <c r="N89" s="6">
        <v>5</v>
      </c>
      <c r="O89" s="6">
        <v>4</v>
      </c>
      <c r="P89" s="6">
        <v>1010</v>
      </c>
      <c r="Q89" s="294"/>
    </row>
    <row r="90" spans="1:17" s="289" customFormat="1" ht="18" customHeight="1">
      <c r="A90" s="275" t="s">
        <v>500</v>
      </c>
      <c r="B90" s="292" t="s">
        <v>633</v>
      </c>
      <c r="C90" s="170">
        <f>SUM(C91:C108)</f>
        <v>35572</v>
      </c>
      <c r="D90" s="170">
        <f aca="true" t="shared" si="12" ref="D90:P90">SUM(D91:D108)</f>
        <v>21361</v>
      </c>
      <c r="E90" s="170">
        <v>60.05</v>
      </c>
      <c r="F90" s="170">
        <f t="shared" si="12"/>
        <v>19014</v>
      </c>
      <c r="G90" s="170">
        <v>53.5</v>
      </c>
      <c r="H90" s="170">
        <f t="shared" si="12"/>
        <v>13657</v>
      </c>
      <c r="I90" s="170">
        <f t="shared" si="12"/>
        <v>12326</v>
      </c>
      <c r="J90" s="170">
        <f t="shared" si="12"/>
        <v>2932</v>
      </c>
      <c r="K90" s="170">
        <f t="shared" si="12"/>
        <v>2375</v>
      </c>
      <c r="L90" s="170">
        <f t="shared" si="12"/>
        <v>7475</v>
      </c>
      <c r="M90" s="170">
        <f t="shared" si="12"/>
        <v>4100</v>
      </c>
      <c r="N90" s="170">
        <f t="shared" si="12"/>
        <v>393</v>
      </c>
      <c r="O90" s="170">
        <f t="shared" si="12"/>
        <v>268</v>
      </c>
      <c r="P90" s="170">
        <f t="shared" si="12"/>
        <v>9606</v>
      </c>
      <c r="Q90" s="288"/>
    </row>
    <row r="91" spans="1:17" s="228" customFormat="1" ht="18" customHeight="1">
      <c r="A91" s="274">
        <v>1</v>
      </c>
      <c r="B91" s="265" t="s">
        <v>634</v>
      </c>
      <c r="C91" s="6">
        <v>3106</v>
      </c>
      <c r="D91" s="6">
        <v>2126</v>
      </c>
      <c r="E91" s="290">
        <f>D91/C91*100</f>
        <v>68.44816484224083</v>
      </c>
      <c r="F91" s="6">
        <v>2106</v>
      </c>
      <c r="G91" s="290">
        <f>F91/C91*100</f>
        <v>67.80424983902125</v>
      </c>
      <c r="H91" s="6">
        <v>2099</v>
      </c>
      <c r="I91" s="6">
        <v>1573</v>
      </c>
      <c r="J91" s="6">
        <v>572</v>
      </c>
      <c r="K91" s="6">
        <v>369</v>
      </c>
      <c r="L91" s="6">
        <v>189</v>
      </c>
      <c r="M91" s="6">
        <v>105</v>
      </c>
      <c r="N91" s="6">
        <v>28</v>
      </c>
      <c r="O91" s="6">
        <v>20</v>
      </c>
      <c r="P91" s="6">
        <v>146</v>
      </c>
      <c r="Q91" s="299"/>
    </row>
    <row r="92" spans="1:17" s="228" customFormat="1" ht="18" customHeight="1">
      <c r="A92" s="274">
        <v>2</v>
      </c>
      <c r="B92" s="265" t="s">
        <v>635</v>
      </c>
      <c r="C92" s="6">
        <v>2214</v>
      </c>
      <c r="D92" s="6">
        <v>1242</v>
      </c>
      <c r="E92" s="290">
        <f aca="true" t="shared" si="13" ref="E92:E108">D92/C92*100</f>
        <v>56.09756097560976</v>
      </c>
      <c r="F92" s="6">
        <v>1101</v>
      </c>
      <c r="G92" s="290">
        <f aca="true" t="shared" si="14" ref="G92:G108">F92/C92*100</f>
        <v>49.728997289972895</v>
      </c>
      <c r="H92" s="6">
        <v>861</v>
      </c>
      <c r="I92" s="6">
        <v>825</v>
      </c>
      <c r="J92" s="6">
        <v>7</v>
      </c>
      <c r="K92" s="6"/>
      <c r="L92" s="6">
        <v>483</v>
      </c>
      <c r="M92" s="6">
        <v>266</v>
      </c>
      <c r="N92" s="6"/>
      <c r="O92" s="6"/>
      <c r="P92" s="6">
        <v>483</v>
      </c>
      <c r="Q92" s="294"/>
    </row>
    <row r="93" spans="1:17" s="228" customFormat="1" ht="18" customHeight="1">
      <c r="A93" s="274">
        <v>3</v>
      </c>
      <c r="B93" s="265" t="s">
        <v>636</v>
      </c>
      <c r="C93" s="6">
        <v>1287</v>
      </c>
      <c r="D93" s="6">
        <v>996</v>
      </c>
      <c r="E93" s="290">
        <f t="shared" si="13"/>
        <v>77.3892773892774</v>
      </c>
      <c r="F93" s="6">
        <v>889</v>
      </c>
      <c r="G93" s="290">
        <f t="shared" si="14"/>
        <v>69.07536907536908</v>
      </c>
      <c r="H93" s="6">
        <v>697</v>
      </c>
      <c r="I93" s="6">
        <v>685</v>
      </c>
      <c r="J93" s="6">
        <v>17</v>
      </c>
      <c r="K93" s="6">
        <v>9</v>
      </c>
      <c r="L93" s="6">
        <v>289</v>
      </c>
      <c r="M93" s="6">
        <v>192</v>
      </c>
      <c r="N93" s="6">
        <v>8</v>
      </c>
      <c r="O93" s="6">
        <v>3</v>
      </c>
      <c r="P93" s="6">
        <v>341</v>
      </c>
      <c r="Q93" s="294"/>
    </row>
    <row r="94" spans="1:17" s="228" customFormat="1" ht="18" customHeight="1">
      <c r="A94" s="274">
        <v>4</v>
      </c>
      <c r="B94" s="265" t="s">
        <v>637</v>
      </c>
      <c r="C94" s="6">
        <v>2571</v>
      </c>
      <c r="D94" s="6">
        <v>932</v>
      </c>
      <c r="E94" s="290">
        <f t="shared" si="13"/>
        <v>36.250486192143136</v>
      </c>
      <c r="F94" s="6">
        <v>739</v>
      </c>
      <c r="G94" s="290">
        <f t="shared" si="14"/>
        <v>28.743679502139248</v>
      </c>
      <c r="H94" s="6">
        <v>571</v>
      </c>
      <c r="I94" s="6">
        <v>556</v>
      </c>
      <c r="J94" s="6">
        <v>58</v>
      </c>
      <c r="K94" s="6">
        <v>42</v>
      </c>
      <c r="L94" s="6">
        <v>179</v>
      </c>
      <c r="M94" s="6">
        <v>131</v>
      </c>
      <c r="N94" s="6"/>
      <c r="O94" s="6"/>
      <c r="P94" s="6">
        <v>2000</v>
      </c>
      <c r="Q94" s="294"/>
    </row>
    <row r="95" spans="1:17" s="228" customFormat="1" ht="18" customHeight="1">
      <c r="A95" s="274">
        <v>5</v>
      </c>
      <c r="B95" s="265" t="s">
        <v>638</v>
      </c>
      <c r="C95" s="6">
        <v>1670</v>
      </c>
      <c r="D95" s="6">
        <v>452</v>
      </c>
      <c r="E95" s="290">
        <f t="shared" si="13"/>
        <v>27.065868263473053</v>
      </c>
      <c r="F95" s="6">
        <v>351</v>
      </c>
      <c r="G95" s="290">
        <f t="shared" si="14"/>
        <v>21.017964071856287</v>
      </c>
      <c r="H95" s="6">
        <v>265</v>
      </c>
      <c r="I95" s="6">
        <v>259</v>
      </c>
      <c r="J95" s="6">
        <v>34</v>
      </c>
      <c r="K95" s="6">
        <v>27</v>
      </c>
      <c r="L95" s="6">
        <v>141</v>
      </c>
      <c r="M95" s="6">
        <v>65</v>
      </c>
      <c r="N95" s="6"/>
      <c r="O95" s="6"/>
      <c r="P95" s="6"/>
      <c r="Q95" s="294"/>
    </row>
    <row r="96" spans="1:17" s="289" customFormat="1" ht="18" customHeight="1">
      <c r="A96" s="274">
        <v>6</v>
      </c>
      <c r="B96" s="265" t="s">
        <v>639</v>
      </c>
      <c r="C96" s="6">
        <v>1602</v>
      </c>
      <c r="D96" s="6">
        <v>918</v>
      </c>
      <c r="E96" s="290">
        <f t="shared" si="13"/>
        <v>57.30337078651685</v>
      </c>
      <c r="F96" s="6">
        <v>879</v>
      </c>
      <c r="G96" s="290">
        <f t="shared" si="14"/>
        <v>54.8689138576779</v>
      </c>
      <c r="H96" s="6">
        <v>691</v>
      </c>
      <c r="I96" s="6">
        <v>560</v>
      </c>
      <c r="J96" s="6">
        <v>337</v>
      </c>
      <c r="K96" s="6">
        <v>175</v>
      </c>
      <c r="L96" s="6">
        <v>437</v>
      </c>
      <c r="M96" s="6">
        <v>163</v>
      </c>
      <c r="N96" s="6"/>
      <c r="O96" s="6"/>
      <c r="P96" s="6">
        <v>76</v>
      </c>
      <c r="Q96" s="294"/>
    </row>
    <row r="97" spans="1:17" s="228" customFormat="1" ht="18" customHeight="1">
      <c r="A97" s="274">
        <v>7</v>
      </c>
      <c r="B97" s="265" t="s">
        <v>640</v>
      </c>
      <c r="C97" s="6">
        <v>1149</v>
      </c>
      <c r="D97" s="6">
        <v>611</v>
      </c>
      <c r="E97" s="290">
        <f t="shared" si="13"/>
        <v>53.17667536988686</v>
      </c>
      <c r="F97" s="6">
        <v>577</v>
      </c>
      <c r="G97" s="290">
        <f t="shared" si="14"/>
        <v>50.217580504786774</v>
      </c>
      <c r="H97" s="6">
        <v>431</v>
      </c>
      <c r="I97" s="6">
        <v>429</v>
      </c>
      <c r="J97" s="6">
        <v>12</v>
      </c>
      <c r="K97" s="6">
        <v>9</v>
      </c>
      <c r="L97" s="6">
        <v>288</v>
      </c>
      <c r="M97" s="6">
        <v>139</v>
      </c>
      <c r="N97" s="6"/>
      <c r="O97" s="6"/>
      <c r="P97" s="6">
        <v>339</v>
      </c>
      <c r="Q97" s="294"/>
    </row>
    <row r="98" spans="1:17" s="228" customFormat="1" ht="18" customHeight="1">
      <c r="A98" s="274">
        <v>8</v>
      </c>
      <c r="B98" s="265" t="s">
        <v>641</v>
      </c>
      <c r="C98" s="6">
        <v>2624</v>
      </c>
      <c r="D98" s="6">
        <v>2115</v>
      </c>
      <c r="E98" s="290">
        <f t="shared" si="13"/>
        <v>80.60213414634147</v>
      </c>
      <c r="F98" s="6">
        <v>1196</v>
      </c>
      <c r="G98" s="290">
        <f t="shared" si="14"/>
        <v>45.579268292682926</v>
      </c>
      <c r="H98" s="6">
        <v>1509</v>
      </c>
      <c r="I98" s="6">
        <v>1037</v>
      </c>
      <c r="J98" s="6">
        <v>35</v>
      </c>
      <c r="K98" s="6">
        <v>9</v>
      </c>
      <c r="L98" s="6">
        <v>824</v>
      </c>
      <c r="M98" s="6">
        <v>236</v>
      </c>
      <c r="N98" s="6">
        <v>1</v>
      </c>
      <c r="O98" s="6"/>
      <c r="P98" s="6">
        <v>278</v>
      </c>
      <c r="Q98" s="294"/>
    </row>
    <row r="99" spans="1:17" s="228" customFormat="1" ht="18" customHeight="1">
      <c r="A99" s="274">
        <v>9</v>
      </c>
      <c r="B99" s="265" t="s">
        <v>221</v>
      </c>
      <c r="C99" s="6">
        <v>2355</v>
      </c>
      <c r="D99" s="6">
        <v>819</v>
      </c>
      <c r="E99" s="290">
        <f t="shared" si="13"/>
        <v>34.77707006369427</v>
      </c>
      <c r="F99" s="6">
        <v>728</v>
      </c>
      <c r="G99" s="290">
        <f t="shared" si="14"/>
        <v>30.912951167728238</v>
      </c>
      <c r="H99" s="6">
        <v>497</v>
      </c>
      <c r="I99" s="6">
        <v>475</v>
      </c>
      <c r="J99" s="6">
        <v>131</v>
      </c>
      <c r="K99" s="6">
        <v>115</v>
      </c>
      <c r="L99" s="6">
        <v>263</v>
      </c>
      <c r="M99" s="6">
        <v>152</v>
      </c>
      <c r="N99" s="6">
        <v>137</v>
      </c>
      <c r="O99" s="6">
        <v>137</v>
      </c>
      <c r="P99" s="6">
        <v>1194</v>
      </c>
      <c r="Q99" s="288"/>
    </row>
    <row r="100" spans="1:17" s="228" customFormat="1" ht="18" customHeight="1">
      <c r="A100" s="274">
        <v>10</v>
      </c>
      <c r="B100" s="265" t="s">
        <v>642</v>
      </c>
      <c r="C100" s="6">
        <v>2309</v>
      </c>
      <c r="D100" s="6">
        <v>1202</v>
      </c>
      <c r="E100" s="290">
        <f t="shared" si="13"/>
        <v>52.05716760502382</v>
      </c>
      <c r="F100" s="6">
        <v>1091</v>
      </c>
      <c r="G100" s="290">
        <f t="shared" si="14"/>
        <v>47.249891728020785</v>
      </c>
      <c r="H100" s="6">
        <v>932</v>
      </c>
      <c r="I100" s="6">
        <v>901</v>
      </c>
      <c r="J100" s="6">
        <v>80</v>
      </c>
      <c r="K100" s="6">
        <v>65</v>
      </c>
      <c r="L100" s="6">
        <v>358</v>
      </c>
      <c r="M100" s="6">
        <v>89</v>
      </c>
      <c r="N100" s="6"/>
      <c r="O100" s="6"/>
      <c r="P100" s="6">
        <v>675</v>
      </c>
      <c r="Q100" s="294"/>
    </row>
    <row r="101" spans="1:17" s="228" customFormat="1" ht="18" customHeight="1">
      <c r="A101" s="274">
        <v>11</v>
      </c>
      <c r="B101" s="265" t="s">
        <v>552</v>
      </c>
      <c r="C101" s="6">
        <v>1744</v>
      </c>
      <c r="D101" s="6">
        <v>1583</v>
      </c>
      <c r="E101" s="290">
        <f t="shared" si="13"/>
        <v>90.76834862385321</v>
      </c>
      <c r="F101" s="6">
        <v>1381</v>
      </c>
      <c r="G101" s="290">
        <f t="shared" si="14"/>
        <v>79.18577981651376</v>
      </c>
      <c r="H101" s="6">
        <v>556</v>
      </c>
      <c r="I101" s="6">
        <v>546</v>
      </c>
      <c r="J101" s="6">
        <v>478</v>
      </c>
      <c r="K101" s="6">
        <v>478</v>
      </c>
      <c r="L101" s="6">
        <v>318</v>
      </c>
      <c r="M101" s="6">
        <v>262</v>
      </c>
      <c r="N101" s="6">
        <v>127</v>
      </c>
      <c r="O101" s="6">
        <v>85</v>
      </c>
      <c r="P101" s="6">
        <v>178</v>
      </c>
      <c r="Q101" s="294"/>
    </row>
    <row r="102" spans="1:17" s="228" customFormat="1" ht="18" customHeight="1">
      <c r="A102" s="274">
        <v>12</v>
      </c>
      <c r="B102" s="265" t="s">
        <v>643</v>
      </c>
      <c r="C102" s="6">
        <v>2526</v>
      </c>
      <c r="D102" s="6">
        <v>1258</v>
      </c>
      <c r="E102" s="290">
        <f t="shared" si="13"/>
        <v>49.80205859065717</v>
      </c>
      <c r="F102" s="6">
        <v>1080</v>
      </c>
      <c r="G102" s="290">
        <f t="shared" si="14"/>
        <v>42.75534441805225</v>
      </c>
      <c r="H102" s="6">
        <v>843</v>
      </c>
      <c r="I102" s="6">
        <v>843</v>
      </c>
      <c r="J102" s="6">
        <v>41</v>
      </c>
      <c r="K102" s="6">
        <v>40</v>
      </c>
      <c r="L102" s="6">
        <v>190</v>
      </c>
      <c r="M102" s="6">
        <v>185</v>
      </c>
      <c r="N102" s="6">
        <v>10</v>
      </c>
      <c r="O102" s="6"/>
      <c r="P102" s="6">
        <v>1488</v>
      </c>
      <c r="Q102" s="294"/>
    </row>
    <row r="103" spans="1:17" s="228" customFormat="1" ht="18" customHeight="1">
      <c r="A103" s="274">
        <v>13</v>
      </c>
      <c r="B103" s="265" t="s">
        <v>644</v>
      </c>
      <c r="C103" s="6">
        <v>1663</v>
      </c>
      <c r="D103" s="6">
        <v>924</v>
      </c>
      <c r="E103" s="290">
        <f t="shared" si="13"/>
        <v>55.562236921226706</v>
      </c>
      <c r="F103" s="6">
        <v>903</v>
      </c>
      <c r="G103" s="290">
        <f t="shared" si="14"/>
        <v>54.29945880938064</v>
      </c>
      <c r="H103" s="6">
        <v>615</v>
      </c>
      <c r="I103" s="6">
        <v>611</v>
      </c>
      <c r="J103" s="6">
        <v>73</v>
      </c>
      <c r="K103" s="6">
        <v>73</v>
      </c>
      <c r="L103" s="6">
        <v>190</v>
      </c>
      <c r="M103" s="6">
        <v>180</v>
      </c>
      <c r="N103" s="6"/>
      <c r="O103" s="6"/>
      <c r="P103" s="6">
        <v>800</v>
      </c>
      <c r="Q103" s="294"/>
    </row>
    <row r="104" spans="1:17" s="228" customFormat="1" ht="18" customHeight="1">
      <c r="A104" s="274">
        <v>14</v>
      </c>
      <c r="B104" s="265" t="s">
        <v>645</v>
      </c>
      <c r="C104" s="6">
        <v>1530</v>
      </c>
      <c r="D104" s="6">
        <v>1048</v>
      </c>
      <c r="E104" s="290">
        <f t="shared" si="13"/>
        <v>68.49673202614379</v>
      </c>
      <c r="F104" s="6">
        <v>899</v>
      </c>
      <c r="G104" s="290">
        <f t="shared" si="14"/>
        <v>58.75816993464053</v>
      </c>
      <c r="H104" s="6">
        <v>592</v>
      </c>
      <c r="I104" s="6">
        <v>589</v>
      </c>
      <c r="J104" s="6">
        <v>274</v>
      </c>
      <c r="K104" s="6">
        <v>217</v>
      </c>
      <c r="L104" s="6">
        <v>393</v>
      </c>
      <c r="M104" s="6">
        <v>193</v>
      </c>
      <c r="N104" s="6">
        <v>69</v>
      </c>
      <c r="O104" s="6">
        <v>13</v>
      </c>
      <c r="P104" s="6">
        <v>13</v>
      </c>
      <c r="Q104" s="294"/>
    </row>
    <row r="105" spans="1:17" s="228" customFormat="1" ht="18" customHeight="1">
      <c r="A105" s="274">
        <v>15</v>
      </c>
      <c r="B105" s="265" t="s">
        <v>646</v>
      </c>
      <c r="C105" s="6">
        <v>1451</v>
      </c>
      <c r="D105" s="6">
        <v>734</v>
      </c>
      <c r="E105" s="290">
        <f t="shared" si="13"/>
        <v>50.58580289455548</v>
      </c>
      <c r="F105" s="6">
        <v>712</v>
      </c>
      <c r="G105" s="290">
        <f t="shared" si="14"/>
        <v>49.06960716747071</v>
      </c>
      <c r="H105" s="6">
        <v>517</v>
      </c>
      <c r="I105" s="6">
        <v>517</v>
      </c>
      <c r="J105" s="6">
        <v>24</v>
      </c>
      <c r="K105" s="6">
        <v>17</v>
      </c>
      <c r="L105" s="6">
        <v>499</v>
      </c>
      <c r="M105" s="6">
        <v>176</v>
      </c>
      <c r="N105" s="6"/>
      <c r="O105" s="6"/>
      <c r="P105" s="6">
        <v>329</v>
      </c>
      <c r="Q105" s="294"/>
    </row>
    <row r="106" spans="1:17" s="228" customFormat="1" ht="18" customHeight="1">
      <c r="A106" s="274">
        <v>16</v>
      </c>
      <c r="B106" s="265" t="s">
        <v>647</v>
      </c>
      <c r="C106" s="6">
        <v>1817</v>
      </c>
      <c r="D106" s="6">
        <v>709</v>
      </c>
      <c r="E106" s="290">
        <f t="shared" si="13"/>
        <v>39.020363236103464</v>
      </c>
      <c r="F106" s="6">
        <v>699</v>
      </c>
      <c r="G106" s="290">
        <f t="shared" si="14"/>
        <v>38.470005503577326</v>
      </c>
      <c r="H106" s="6">
        <v>509</v>
      </c>
      <c r="I106" s="6">
        <v>448</v>
      </c>
      <c r="J106" s="6">
        <v>134</v>
      </c>
      <c r="K106" s="6">
        <v>107</v>
      </c>
      <c r="L106" s="6">
        <v>919</v>
      </c>
      <c r="M106" s="6">
        <v>171</v>
      </c>
      <c r="N106" s="6">
        <v>6</v>
      </c>
      <c r="O106" s="6">
        <v>3</v>
      </c>
      <c r="P106" s="6">
        <v>218</v>
      </c>
      <c r="Q106" s="294"/>
    </row>
    <row r="107" spans="1:17" s="228" customFormat="1" ht="18" customHeight="1">
      <c r="A107" s="274">
        <v>17</v>
      </c>
      <c r="B107" s="265" t="s">
        <v>537</v>
      </c>
      <c r="C107" s="6">
        <v>2015</v>
      </c>
      <c r="D107" s="6">
        <v>2015</v>
      </c>
      <c r="E107" s="290">
        <f t="shared" si="13"/>
        <v>100</v>
      </c>
      <c r="F107" s="6">
        <v>2015</v>
      </c>
      <c r="G107" s="290">
        <f t="shared" si="14"/>
        <v>100</v>
      </c>
      <c r="H107" s="6">
        <v>819</v>
      </c>
      <c r="I107" s="6">
        <v>819</v>
      </c>
      <c r="J107" s="6">
        <v>504</v>
      </c>
      <c r="K107" s="6">
        <v>504</v>
      </c>
      <c r="L107" s="6">
        <v>682</v>
      </c>
      <c r="M107" s="6">
        <v>672</v>
      </c>
      <c r="N107" s="6"/>
      <c r="O107" s="6"/>
      <c r="P107" s="6">
        <v>924</v>
      </c>
      <c r="Q107" s="294"/>
    </row>
    <row r="108" spans="1:17" s="228" customFormat="1" ht="18" customHeight="1">
      <c r="A108" s="274">
        <v>18</v>
      </c>
      <c r="B108" s="265" t="s">
        <v>557</v>
      </c>
      <c r="C108" s="6">
        <v>1939</v>
      </c>
      <c r="D108" s="6">
        <v>1677</v>
      </c>
      <c r="E108" s="290">
        <f t="shared" si="13"/>
        <v>86.48788035069623</v>
      </c>
      <c r="F108" s="6">
        <v>1668</v>
      </c>
      <c r="G108" s="290">
        <f t="shared" si="14"/>
        <v>86.02372356884992</v>
      </c>
      <c r="H108" s="6">
        <v>653</v>
      </c>
      <c r="I108" s="6">
        <v>653</v>
      </c>
      <c r="J108" s="6">
        <v>121</v>
      </c>
      <c r="K108" s="6">
        <v>119</v>
      </c>
      <c r="L108" s="6">
        <v>833</v>
      </c>
      <c r="M108" s="6">
        <v>723</v>
      </c>
      <c r="N108" s="6">
        <v>7</v>
      </c>
      <c r="O108" s="6">
        <v>7</v>
      </c>
      <c r="P108" s="6">
        <v>124</v>
      </c>
      <c r="Q108" s="294"/>
    </row>
    <row r="109" spans="1:17" s="289" customFormat="1" ht="18" customHeight="1">
      <c r="A109" s="275" t="s">
        <v>501</v>
      </c>
      <c r="B109" s="292" t="s">
        <v>648</v>
      </c>
      <c r="C109" s="170">
        <f>SUM(C110:C119)</f>
        <v>17225</v>
      </c>
      <c r="D109" s="170">
        <f aca="true" t="shared" si="15" ref="D109:P109">SUM(D110:D119)</f>
        <v>10541</v>
      </c>
      <c r="E109" s="170">
        <v>61.2</v>
      </c>
      <c r="F109" s="170">
        <f t="shared" si="15"/>
        <v>9418</v>
      </c>
      <c r="G109" s="170">
        <v>54.7</v>
      </c>
      <c r="H109" s="170">
        <f t="shared" si="15"/>
        <v>6838</v>
      </c>
      <c r="I109" s="170">
        <f t="shared" si="15"/>
        <v>6575</v>
      </c>
      <c r="J109" s="170">
        <f t="shared" si="15"/>
        <v>1100</v>
      </c>
      <c r="K109" s="170">
        <f t="shared" si="15"/>
        <v>838</v>
      </c>
      <c r="L109" s="170">
        <f t="shared" si="15"/>
        <v>1731</v>
      </c>
      <c r="M109" s="170">
        <f t="shared" si="15"/>
        <v>963</v>
      </c>
      <c r="N109" s="170">
        <f t="shared" si="15"/>
        <v>864</v>
      </c>
      <c r="O109" s="170">
        <f t="shared" si="15"/>
        <v>854</v>
      </c>
      <c r="P109" s="170">
        <f t="shared" si="15"/>
        <v>4027</v>
      </c>
      <c r="Q109" s="288"/>
    </row>
    <row r="110" spans="1:17" s="228" customFormat="1" ht="18" customHeight="1">
      <c r="A110" s="274">
        <v>1</v>
      </c>
      <c r="B110" s="265" t="s">
        <v>649</v>
      </c>
      <c r="C110" s="6">
        <v>1890</v>
      </c>
      <c r="D110" s="6">
        <v>1135</v>
      </c>
      <c r="E110" s="290">
        <f>D110/C110*100</f>
        <v>60.05291005291006</v>
      </c>
      <c r="F110" s="6">
        <v>1113</v>
      </c>
      <c r="G110" s="290">
        <f aca="true" t="shared" si="16" ref="G110:G120">F110/C110*100</f>
        <v>58.88888888888889</v>
      </c>
      <c r="H110" s="6">
        <v>682</v>
      </c>
      <c r="I110" s="6">
        <v>672</v>
      </c>
      <c r="J110" s="6">
        <v>226</v>
      </c>
      <c r="K110" s="6">
        <v>196</v>
      </c>
      <c r="L110" s="6">
        <v>428</v>
      </c>
      <c r="M110" s="6">
        <v>209</v>
      </c>
      <c r="N110" s="6">
        <v>2</v>
      </c>
      <c r="O110" s="6">
        <v>2</v>
      </c>
      <c r="P110" s="6">
        <v>473</v>
      </c>
      <c r="Q110" s="294"/>
    </row>
    <row r="111" spans="1:17" s="228" customFormat="1" ht="18" customHeight="1">
      <c r="A111" s="274">
        <v>2</v>
      </c>
      <c r="B111" s="265" t="s">
        <v>549</v>
      </c>
      <c r="C111" s="6">
        <v>2849</v>
      </c>
      <c r="D111" s="6">
        <v>2614</v>
      </c>
      <c r="E111" s="290">
        <f>D111/C111*100</f>
        <v>91.75149175149176</v>
      </c>
      <c r="F111" s="6">
        <v>2514</v>
      </c>
      <c r="G111" s="290">
        <f t="shared" si="16"/>
        <v>88.24148824148824</v>
      </c>
      <c r="H111" s="6">
        <v>1460</v>
      </c>
      <c r="I111" s="6">
        <v>1460</v>
      </c>
      <c r="J111" s="6">
        <v>225</v>
      </c>
      <c r="K111" s="6">
        <v>225</v>
      </c>
      <c r="L111" s="6"/>
      <c r="M111" s="6"/>
      <c r="N111" s="6">
        <v>749</v>
      </c>
      <c r="O111" s="6">
        <v>749</v>
      </c>
      <c r="P111" s="6">
        <v>335</v>
      </c>
      <c r="Q111" s="294"/>
    </row>
    <row r="112" spans="1:17" s="228" customFormat="1" ht="18" customHeight="1">
      <c r="A112" s="274">
        <v>3</v>
      </c>
      <c r="B112" s="265" t="s">
        <v>219</v>
      </c>
      <c r="C112" s="6">
        <v>2406</v>
      </c>
      <c r="D112" s="6">
        <v>1380</v>
      </c>
      <c r="E112" s="290">
        <f>D112/C112*100</f>
        <v>57.356608478803</v>
      </c>
      <c r="F112" s="6">
        <v>1136</v>
      </c>
      <c r="G112" s="290">
        <f t="shared" si="16"/>
        <v>47.21529509559434</v>
      </c>
      <c r="H112" s="6">
        <v>790</v>
      </c>
      <c r="I112" s="6">
        <v>775</v>
      </c>
      <c r="J112" s="6">
        <v>282</v>
      </c>
      <c r="K112" s="6">
        <v>209</v>
      </c>
      <c r="L112" s="6">
        <v>218</v>
      </c>
      <c r="M112" s="6">
        <v>152</v>
      </c>
      <c r="N112" s="6"/>
      <c r="O112" s="6"/>
      <c r="P112" s="6">
        <v>977</v>
      </c>
      <c r="Q112" s="294"/>
    </row>
    <row r="113" spans="1:17" s="228" customFormat="1" ht="18" customHeight="1">
      <c r="A113" s="274">
        <v>4</v>
      </c>
      <c r="B113" s="265" t="s">
        <v>650</v>
      </c>
      <c r="C113" s="6">
        <v>1657</v>
      </c>
      <c r="D113" s="6">
        <v>918</v>
      </c>
      <c r="E113" s="290">
        <f aca="true" t="shared" si="17" ref="E113:E119">D113/C113*100</f>
        <v>55.40132770066385</v>
      </c>
      <c r="F113" s="6">
        <v>700</v>
      </c>
      <c r="G113" s="290">
        <f t="shared" si="16"/>
        <v>42.245021122510565</v>
      </c>
      <c r="H113" s="6">
        <v>389</v>
      </c>
      <c r="I113" s="6">
        <v>389</v>
      </c>
      <c r="J113" s="6">
        <v>22</v>
      </c>
      <c r="K113" s="6">
        <v>22</v>
      </c>
      <c r="L113" s="6">
        <v>280</v>
      </c>
      <c r="M113" s="6">
        <v>206</v>
      </c>
      <c r="N113" s="6">
        <v>83</v>
      </c>
      <c r="O113" s="6">
        <v>83</v>
      </c>
      <c r="P113" s="6">
        <v>59</v>
      </c>
      <c r="Q113" s="294"/>
    </row>
    <row r="114" spans="1:17" s="228" customFormat="1" ht="18" customHeight="1">
      <c r="A114" s="274">
        <v>5</v>
      </c>
      <c r="B114" s="265" t="s">
        <v>651</v>
      </c>
      <c r="C114" s="6">
        <v>1418</v>
      </c>
      <c r="D114" s="6">
        <v>784</v>
      </c>
      <c r="E114" s="290">
        <f t="shared" si="17"/>
        <v>55.289139633286325</v>
      </c>
      <c r="F114" s="6">
        <v>736</v>
      </c>
      <c r="G114" s="290">
        <f t="shared" si="16"/>
        <v>51.90409026798307</v>
      </c>
      <c r="H114" s="6">
        <v>560</v>
      </c>
      <c r="I114" s="6">
        <v>459</v>
      </c>
      <c r="J114" s="6">
        <v>154</v>
      </c>
      <c r="K114" s="6">
        <v>69</v>
      </c>
      <c r="L114" s="6">
        <v>203</v>
      </c>
      <c r="M114" s="6">
        <v>114</v>
      </c>
      <c r="N114" s="6">
        <v>30</v>
      </c>
      <c r="O114" s="6">
        <v>20</v>
      </c>
      <c r="P114" s="6">
        <v>277</v>
      </c>
      <c r="Q114" s="294"/>
    </row>
    <row r="115" spans="1:17" s="228" customFormat="1" ht="18" customHeight="1">
      <c r="A115" s="274">
        <v>6</v>
      </c>
      <c r="B115" s="265" t="s">
        <v>652</v>
      </c>
      <c r="C115" s="6">
        <v>1100</v>
      </c>
      <c r="D115" s="6">
        <v>535</v>
      </c>
      <c r="E115" s="290">
        <f t="shared" si="17"/>
        <v>48.63636363636364</v>
      </c>
      <c r="F115" s="6">
        <v>429</v>
      </c>
      <c r="G115" s="290">
        <f t="shared" si="16"/>
        <v>39</v>
      </c>
      <c r="H115" s="6">
        <v>403</v>
      </c>
      <c r="I115" s="6">
        <v>403</v>
      </c>
      <c r="J115" s="6">
        <v>71</v>
      </c>
      <c r="K115" s="6">
        <v>26</v>
      </c>
      <c r="L115" s="6">
        <v>11</v>
      </c>
      <c r="M115" s="6"/>
      <c r="N115" s="6"/>
      <c r="O115" s="6"/>
      <c r="P115" s="6">
        <v>456</v>
      </c>
      <c r="Q115" s="297"/>
    </row>
    <row r="116" spans="1:17" s="228" customFormat="1" ht="18" customHeight="1">
      <c r="A116" s="274">
        <v>7</v>
      </c>
      <c r="B116" s="265" t="s">
        <v>653</v>
      </c>
      <c r="C116" s="6">
        <v>1294</v>
      </c>
      <c r="D116" s="6">
        <v>460</v>
      </c>
      <c r="E116" s="290">
        <f t="shared" si="17"/>
        <v>35.54868624420402</v>
      </c>
      <c r="F116" s="6">
        <v>408</v>
      </c>
      <c r="G116" s="290">
        <f t="shared" si="16"/>
        <v>31.530139103554866</v>
      </c>
      <c r="H116" s="6">
        <v>539</v>
      </c>
      <c r="I116" s="6">
        <v>402</v>
      </c>
      <c r="J116" s="6">
        <v>32</v>
      </c>
      <c r="K116" s="6">
        <v>3</v>
      </c>
      <c r="L116" s="6">
        <v>293</v>
      </c>
      <c r="M116" s="6">
        <v>3</v>
      </c>
      <c r="N116" s="6"/>
      <c r="O116" s="6"/>
      <c r="P116" s="6">
        <v>241</v>
      </c>
      <c r="Q116" s="297"/>
    </row>
    <row r="117" spans="1:17" s="228" customFormat="1" ht="18" customHeight="1">
      <c r="A117" s="274">
        <v>8</v>
      </c>
      <c r="B117" s="265" t="s">
        <v>654</v>
      </c>
      <c r="C117" s="6">
        <v>1621</v>
      </c>
      <c r="D117" s="6">
        <v>880</v>
      </c>
      <c r="E117" s="290">
        <f t="shared" si="17"/>
        <v>54.28747686613201</v>
      </c>
      <c r="F117" s="6">
        <v>733</v>
      </c>
      <c r="G117" s="290">
        <f t="shared" si="16"/>
        <v>45.21900061690315</v>
      </c>
      <c r="H117" s="6">
        <v>610</v>
      </c>
      <c r="I117" s="6">
        <v>610</v>
      </c>
      <c r="J117" s="6"/>
      <c r="K117" s="6"/>
      <c r="L117" s="6">
        <v>142</v>
      </c>
      <c r="M117" s="6">
        <v>123</v>
      </c>
      <c r="N117" s="6"/>
      <c r="O117" s="6"/>
      <c r="P117" s="6">
        <v>319</v>
      </c>
      <c r="Q117" s="294"/>
    </row>
    <row r="118" spans="1:17" s="228" customFormat="1" ht="18" customHeight="1">
      <c r="A118" s="274">
        <v>9</v>
      </c>
      <c r="B118" s="265" t="s">
        <v>171</v>
      </c>
      <c r="C118" s="6">
        <v>1316</v>
      </c>
      <c r="D118" s="6">
        <v>1008</v>
      </c>
      <c r="E118" s="290">
        <f t="shared" si="17"/>
        <v>76.59574468085107</v>
      </c>
      <c r="F118" s="6">
        <v>822</v>
      </c>
      <c r="G118" s="290">
        <f t="shared" si="16"/>
        <v>62.462006079027354</v>
      </c>
      <c r="H118" s="6">
        <v>647</v>
      </c>
      <c r="I118" s="6">
        <v>647</v>
      </c>
      <c r="J118" s="6">
        <v>19</v>
      </c>
      <c r="K118" s="6">
        <v>19</v>
      </c>
      <c r="L118" s="6">
        <v>156</v>
      </c>
      <c r="M118" s="6">
        <v>156</v>
      </c>
      <c r="N118" s="6"/>
      <c r="O118" s="6"/>
      <c r="P118" s="6">
        <v>187</v>
      </c>
      <c r="Q118" s="294"/>
    </row>
    <row r="119" spans="1:17" s="228" customFormat="1" ht="18" customHeight="1">
      <c r="A119" s="274">
        <v>10</v>
      </c>
      <c r="B119" s="265" t="s">
        <v>655</v>
      </c>
      <c r="C119" s="6">
        <v>1674</v>
      </c>
      <c r="D119" s="6">
        <v>827</v>
      </c>
      <c r="E119" s="290">
        <f t="shared" si="17"/>
        <v>49.402628434886495</v>
      </c>
      <c r="F119" s="6">
        <v>827</v>
      </c>
      <c r="G119" s="290">
        <f t="shared" si="16"/>
        <v>49.402628434886495</v>
      </c>
      <c r="H119" s="6">
        <v>758</v>
      </c>
      <c r="I119" s="6">
        <v>758</v>
      </c>
      <c r="J119" s="6">
        <v>69</v>
      </c>
      <c r="K119" s="6">
        <v>69</v>
      </c>
      <c r="L119" s="6"/>
      <c r="M119" s="6"/>
      <c r="N119" s="6"/>
      <c r="O119" s="6"/>
      <c r="P119" s="6">
        <v>703</v>
      </c>
      <c r="Q119" s="294"/>
    </row>
    <row r="120" spans="1:17" s="228" customFormat="1" ht="18" customHeight="1">
      <c r="A120" s="275" t="s">
        <v>502</v>
      </c>
      <c r="B120" s="258" t="s">
        <v>503</v>
      </c>
      <c r="C120" s="275">
        <f>C8+C22+C37+C44+C59+C82+C86+C99</f>
        <v>37722</v>
      </c>
      <c r="D120" s="275">
        <f>D8+D22+D37+D44+D59+D82+D86+D99</f>
        <v>20940</v>
      </c>
      <c r="E120" s="287">
        <f>D120/C120*100</f>
        <v>55.51137267377128</v>
      </c>
      <c r="F120" s="275">
        <f>F8+F22+F37+F44+F59+F82+F86+F99</f>
        <v>19243</v>
      </c>
      <c r="G120" s="275">
        <f t="shared" si="16"/>
        <v>51.01267165049573</v>
      </c>
      <c r="H120" s="275">
        <f aca="true" t="shared" si="18" ref="H120:P120">H8+H22+H37+H44+H59+H82+H86+H99</f>
        <v>15225</v>
      </c>
      <c r="I120" s="275">
        <f t="shared" si="18"/>
        <v>14931</v>
      </c>
      <c r="J120" s="275">
        <f t="shared" si="18"/>
        <v>1897</v>
      </c>
      <c r="K120" s="275">
        <f t="shared" si="18"/>
        <v>1376</v>
      </c>
      <c r="L120" s="275">
        <f t="shared" si="18"/>
        <v>4355</v>
      </c>
      <c r="M120" s="275">
        <f t="shared" si="18"/>
        <v>2545</v>
      </c>
      <c r="N120" s="275">
        <f t="shared" si="18"/>
        <v>350</v>
      </c>
      <c r="O120" s="275">
        <f t="shared" si="18"/>
        <v>181</v>
      </c>
      <c r="P120" s="275">
        <f t="shared" si="18"/>
        <v>13141</v>
      </c>
      <c r="Q120" s="288"/>
    </row>
    <row r="121" spans="1:17" ht="25.5" customHeight="1">
      <c r="A121" s="301"/>
      <c r="B121" s="300"/>
      <c r="C121" s="301"/>
      <c r="D121" s="301"/>
      <c r="E121" s="302"/>
      <c r="F121" s="301"/>
      <c r="G121" s="302"/>
      <c r="H121" s="301"/>
      <c r="I121" s="301"/>
      <c r="J121" s="301"/>
      <c r="K121" s="301"/>
      <c r="L121" s="301"/>
      <c r="M121" s="301"/>
      <c r="N121" s="301"/>
      <c r="O121" s="301"/>
      <c r="P121" s="301"/>
      <c r="Q121" s="230"/>
    </row>
    <row r="122" spans="1:17" ht="20.25" customHeight="1">
      <c r="A122" s="304"/>
      <c r="B122" s="303"/>
      <c r="C122" s="304"/>
      <c r="D122" s="304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230"/>
    </row>
    <row r="123" spans="1:17" ht="25.5" customHeight="1">
      <c r="A123" s="304"/>
      <c r="B123" s="230"/>
      <c r="C123" s="304"/>
      <c r="D123" s="304"/>
      <c r="E123" s="305"/>
      <c r="F123" s="304"/>
      <c r="G123" s="305"/>
      <c r="H123" s="304"/>
      <c r="I123" s="304"/>
      <c r="J123" s="304"/>
      <c r="K123" s="304"/>
      <c r="L123" s="304"/>
      <c r="M123" s="304"/>
      <c r="N123" s="304"/>
      <c r="O123" s="304"/>
      <c r="P123" s="304"/>
      <c r="Q123" s="230"/>
    </row>
    <row r="124" spans="1:17" ht="25.5" customHeight="1">
      <c r="A124" s="304"/>
      <c r="B124" s="230"/>
      <c r="C124" s="304"/>
      <c r="D124" s="304"/>
      <c r="E124" s="305"/>
      <c r="F124" s="305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230"/>
    </row>
    <row r="125" spans="1:16" ht="25.5" customHeight="1">
      <c r="A125" s="306"/>
      <c r="B125" s="228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</row>
    <row r="126" spans="1:16" ht="25.5" customHeight="1">
      <c r="A126" s="306"/>
      <c r="B126" s="228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</row>
    <row r="127" spans="1:16" ht="25.5" customHeight="1">
      <c r="A127" s="306"/>
      <c r="B127" s="228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</row>
    <row r="128" spans="1:16" ht="25.5" customHeight="1">
      <c r="A128" s="306"/>
      <c r="B128" s="228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</row>
    <row r="129" spans="1:16" ht="25.5" customHeight="1">
      <c r="A129" s="306"/>
      <c r="B129" s="228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</row>
    <row r="130" spans="1:16" ht="22.5" customHeight="1">
      <c r="A130" s="306"/>
      <c r="B130" s="228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</row>
    <row r="131" spans="1:16" ht="22.5" customHeight="1">
      <c r="A131" s="306"/>
      <c r="B131" s="228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</row>
    <row r="132" spans="1:16" ht="22.5" customHeight="1">
      <c r="A132" s="306"/>
      <c r="B132" s="228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</row>
    <row r="133" spans="1:16" ht="12.75">
      <c r="A133" s="306"/>
      <c r="B133" s="228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</row>
    <row r="134" spans="1:16" ht="12.75">
      <c r="A134" s="306"/>
      <c r="B134" s="228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</row>
    <row r="135" spans="1:16" ht="12.75">
      <c r="A135" s="306"/>
      <c r="B135" s="228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</row>
    <row r="136" spans="1:16" ht="12.75">
      <c r="A136" s="306"/>
      <c r="B136" s="228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</row>
    <row r="137" spans="1:16" ht="12.75">
      <c r="A137" s="306"/>
      <c r="B137" s="228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</row>
    <row r="138" spans="1:16" ht="12.75">
      <c r="A138" s="306"/>
      <c r="B138" s="228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</row>
    <row r="139" spans="1:16" ht="12.75">
      <c r="A139" s="306"/>
      <c r="B139" s="228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</row>
    <row r="140" spans="1:16" ht="12.75">
      <c r="A140" s="306"/>
      <c r="B140" s="228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</row>
    <row r="141" spans="1:16" ht="12.75">
      <c r="A141" s="306"/>
      <c r="B141" s="228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</row>
    <row r="142" spans="1:16" ht="12.75">
      <c r="A142" s="306"/>
      <c r="B142" s="228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</row>
    <row r="143" spans="1:16" ht="12.75">
      <c r="A143" s="306"/>
      <c r="B143" s="228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</row>
    <row r="144" spans="1:16" ht="12.75">
      <c r="A144" s="306"/>
      <c r="B144" s="228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</row>
    <row r="145" spans="1:16" ht="12.75">
      <c r="A145" s="306"/>
      <c r="B145" s="228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</row>
    <row r="146" spans="1:16" ht="12.75">
      <c r="A146" s="306"/>
      <c r="B146" s="228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</row>
    <row r="147" spans="1:16" ht="12.75">
      <c r="A147" s="306"/>
      <c r="B147" s="228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</row>
    <row r="148" spans="1:16" ht="12.75">
      <c r="A148" s="306"/>
      <c r="B148" s="228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</row>
    <row r="149" spans="1:16" ht="12.75">
      <c r="A149" s="306"/>
      <c r="B149" s="228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</row>
    <row r="150" spans="1:16" ht="12.75">
      <c r="A150" s="306"/>
      <c r="B150" s="228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</row>
    <row r="151" spans="1:16" ht="12.75">
      <c r="A151" s="306"/>
      <c r="B151" s="228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</row>
    <row r="152" spans="1:16" ht="12.75">
      <c r="A152" s="306"/>
      <c r="B152" s="228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</row>
    <row r="153" spans="1:16" ht="12.75">
      <c r="A153" s="306"/>
      <c r="B153" s="228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</row>
    <row r="154" spans="1:16" ht="12.75">
      <c r="A154" s="306"/>
      <c r="B154" s="228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</row>
    <row r="155" spans="1:16" ht="12.75">
      <c r="A155" s="306"/>
      <c r="B155" s="228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</row>
    <row r="156" spans="1:16" ht="12.75">
      <c r="A156" s="306"/>
      <c r="B156" s="228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</row>
    <row r="157" spans="1:16" ht="12.75">
      <c r="A157" s="306"/>
      <c r="B157" s="228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</row>
    <row r="158" spans="1:16" ht="12.75">
      <c r="A158" s="306"/>
      <c r="B158" s="228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</row>
    <row r="159" spans="1:16" ht="12.75">
      <c r="A159" s="306"/>
      <c r="B159" s="228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</row>
    <row r="160" spans="1:16" ht="12.75">
      <c r="A160" s="306"/>
      <c r="B160" s="228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</row>
    <row r="161" spans="1:16" ht="12.75">
      <c r="A161" s="306"/>
      <c r="B161" s="228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</row>
    <row r="162" spans="1:16" ht="12.75">
      <c r="A162" s="306"/>
      <c r="B162" s="228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</row>
    <row r="163" spans="1:16" ht="12.75">
      <c r="A163" s="306"/>
      <c r="B163" s="228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</row>
    <row r="164" spans="1:16" ht="12.75">
      <c r="A164" s="306"/>
      <c r="B164" s="228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</row>
    <row r="165" spans="1:16" ht="12.75">
      <c r="A165" s="306"/>
      <c r="B165" s="228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</row>
    <row r="166" spans="1:16" ht="12.75">
      <c r="A166" s="306"/>
      <c r="B166" s="228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</row>
    <row r="167" spans="1:16" ht="12.75">
      <c r="A167" s="306"/>
      <c r="B167" s="228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</row>
    <row r="168" spans="1:16" ht="12.75">
      <c r="A168" s="306"/>
      <c r="B168" s="228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</row>
    <row r="169" spans="1:16" ht="12.75">
      <c r="A169" s="306"/>
      <c r="B169" s="228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</row>
    <row r="170" spans="1:16" ht="12.75">
      <c r="A170" s="306"/>
      <c r="B170" s="228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</row>
    <row r="171" spans="1:16" ht="12.75">
      <c r="A171" s="306"/>
      <c r="B171" s="228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</row>
    <row r="172" spans="1:16" ht="12.75">
      <c r="A172" s="306"/>
      <c r="B172" s="228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</row>
    <row r="173" spans="1:16" ht="12.75">
      <c r="A173" s="306"/>
      <c r="B173" s="228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</row>
    <row r="174" spans="1:16" ht="12.75">
      <c r="A174" s="306"/>
      <c r="B174" s="228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</row>
  </sheetData>
  <mergeCells count="16">
    <mergeCell ref="E122:P122"/>
    <mergeCell ref="A2:P2"/>
    <mergeCell ref="H5:I5"/>
    <mergeCell ref="J5:K5"/>
    <mergeCell ref="L5:M5"/>
    <mergeCell ref="N5:O5"/>
    <mergeCell ref="A1:P1"/>
    <mergeCell ref="A4:A6"/>
    <mergeCell ref="B4:B6"/>
    <mergeCell ref="C4:C6"/>
    <mergeCell ref="D4:G4"/>
    <mergeCell ref="H4:P4"/>
    <mergeCell ref="D5:D6"/>
    <mergeCell ref="E5:E6"/>
    <mergeCell ref="F5:F6"/>
    <mergeCell ref="G5:G6"/>
  </mergeCells>
  <printOptions/>
  <pageMargins left="0.2" right="0.22" top="0.29" bottom="0.27" header="0.2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140625" style="12" bestFit="1" customWidth="1"/>
    <col min="2" max="2" width="42.57421875" style="12" customWidth="1"/>
    <col min="3" max="3" width="9.8515625" style="12" customWidth="1"/>
    <col min="4" max="4" width="10.421875" style="12" customWidth="1"/>
    <col min="5" max="5" width="11.7109375" style="104" customWidth="1"/>
    <col min="6" max="8" width="9.28125" style="12" customWidth="1"/>
    <col min="9" max="9" width="9.7109375" style="12" bestFit="1" customWidth="1"/>
    <col min="10" max="11" width="0" style="12" hidden="1" customWidth="1"/>
    <col min="12" max="12" width="12.421875" style="12" customWidth="1"/>
    <col min="13" max="13" width="14.28125" style="12" customWidth="1"/>
    <col min="14" max="14" width="14.00390625" style="12" bestFit="1" customWidth="1"/>
    <col min="15" max="15" width="16.7109375" style="12" bestFit="1" customWidth="1"/>
    <col min="16" max="16" width="9.57421875" style="12" bestFit="1" customWidth="1"/>
    <col min="17" max="16384" width="9.140625" style="12" customWidth="1"/>
  </cols>
  <sheetData>
    <row r="1" spans="1:8" ht="21.75" customHeight="1">
      <c r="A1" s="640" t="s">
        <v>65</v>
      </c>
      <c r="B1" s="640"/>
      <c r="C1" s="640"/>
      <c r="D1" s="640"/>
      <c r="E1" s="640"/>
      <c r="F1" s="640"/>
      <c r="G1" s="83"/>
      <c r="H1" s="83"/>
    </row>
    <row r="2" spans="1:8" ht="31.5" customHeight="1">
      <c r="A2" s="653" t="s">
        <v>850</v>
      </c>
      <c r="B2" s="653"/>
      <c r="C2" s="653"/>
      <c r="D2" s="653"/>
      <c r="E2" s="653"/>
      <c r="F2" s="653"/>
      <c r="G2" s="320"/>
      <c r="H2" s="320"/>
    </row>
    <row r="3" spans="1:8" ht="16.5">
      <c r="A3" s="173"/>
      <c r="B3" s="173"/>
      <c r="C3" s="174"/>
      <c r="D3" s="174"/>
      <c r="E3" s="173"/>
      <c r="F3" s="173"/>
      <c r="G3" s="173"/>
      <c r="H3" s="173"/>
    </row>
    <row r="4" spans="1:8" ht="19.5" customHeight="1">
      <c r="A4" s="422" t="s">
        <v>40</v>
      </c>
      <c r="B4" s="423" t="s">
        <v>0</v>
      </c>
      <c r="C4" s="654" t="s">
        <v>49</v>
      </c>
      <c r="D4" s="655"/>
      <c r="E4" s="656" t="s">
        <v>66</v>
      </c>
      <c r="F4" s="659" t="s">
        <v>67</v>
      </c>
      <c r="G4" s="567"/>
      <c r="H4" s="354"/>
    </row>
    <row r="5" spans="1:8" ht="19.5" customHeight="1">
      <c r="A5" s="424"/>
      <c r="B5" s="425"/>
      <c r="C5" s="426" t="s">
        <v>68</v>
      </c>
      <c r="D5" s="426" t="s">
        <v>69</v>
      </c>
      <c r="E5" s="657"/>
      <c r="F5" s="660"/>
      <c r="G5" s="568"/>
      <c r="H5" s="355"/>
    </row>
    <row r="6" spans="1:8" ht="16.5">
      <c r="A6" s="427"/>
      <c r="B6" s="428"/>
      <c r="C6" s="429"/>
      <c r="D6" s="429" t="s">
        <v>70</v>
      </c>
      <c r="E6" s="658"/>
      <c r="F6" s="661"/>
      <c r="G6" s="568"/>
      <c r="H6" s="355"/>
    </row>
    <row r="7" spans="1:8" ht="19.5" customHeight="1">
      <c r="A7" s="430"/>
      <c r="B7" s="431"/>
      <c r="C7" s="430"/>
      <c r="D7" s="430"/>
      <c r="E7" s="432"/>
      <c r="F7" s="13"/>
      <c r="G7" s="356"/>
      <c r="H7" s="356"/>
    </row>
    <row r="8" spans="1:12" ht="19.5" customHeight="1">
      <c r="A8" s="433">
        <v>1</v>
      </c>
      <c r="B8" s="434" t="s">
        <v>71</v>
      </c>
      <c r="C8" s="435"/>
      <c r="D8" s="435"/>
      <c r="E8" s="436">
        <f>E9+E10</f>
        <v>44887.0214</v>
      </c>
      <c r="F8" s="14"/>
      <c r="G8" s="356"/>
      <c r="H8" s="356"/>
      <c r="L8" s="112"/>
    </row>
    <row r="9" spans="1:12" ht="19.5" customHeight="1">
      <c r="A9" s="437"/>
      <c r="B9" s="434" t="s">
        <v>522</v>
      </c>
      <c r="C9" s="438">
        <f>'Bieu 3'!K10+'Bieu 3'!K14+'Bieu 3'!K25+'Bieu 3'!K24</f>
        <v>27000</v>
      </c>
      <c r="D9" s="438">
        <f>'Bieu 3'!O10+'Bieu 3'!O14+'Bieu 3'!O24+'Bieu 3'!O25+'Bieu 3'!O58</f>
        <v>44748</v>
      </c>
      <c r="E9" s="439">
        <f>'Bieu 3'!S12+'Bieu 3'!S13+'Bieu 3'!S14+'Bieu 3'!S24+'Bieu 3'!S25+'Bieu 3'!S58+400</f>
        <v>44887.0214</v>
      </c>
      <c r="F9" s="14"/>
      <c r="G9" s="356"/>
      <c r="H9" s="356"/>
      <c r="I9" s="112"/>
      <c r="L9" s="112"/>
    </row>
    <row r="10" spans="1:21" ht="19.5" customHeight="1">
      <c r="A10" s="437"/>
      <c r="B10" s="440" t="s">
        <v>72</v>
      </c>
      <c r="C10" s="438"/>
      <c r="D10" s="438"/>
      <c r="E10" s="439"/>
      <c r="F10" s="14"/>
      <c r="G10" s="356"/>
      <c r="H10" s="357"/>
      <c r="I10" s="104"/>
      <c r="J10" s="104"/>
      <c r="K10" s="104"/>
      <c r="L10" s="358"/>
      <c r="M10" s="104"/>
      <c r="N10" s="358"/>
      <c r="O10" s="104"/>
      <c r="P10" s="104"/>
      <c r="Q10" s="104"/>
      <c r="R10" s="104"/>
      <c r="S10" s="104"/>
      <c r="T10" s="104"/>
      <c r="U10" s="104"/>
    </row>
    <row r="11" spans="1:21" s="15" customFormat="1" ht="19.5" customHeight="1">
      <c r="A11" s="433">
        <v>2</v>
      </c>
      <c r="B11" s="434" t="s">
        <v>73</v>
      </c>
      <c r="C11" s="435"/>
      <c r="D11" s="441"/>
      <c r="E11" s="439"/>
      <c r="F11" s="14"/>
      <c r="G11" s="356"/>
      <c r="H11" s="357"/>
      <c r="I11" s="359"/>
      <c r="J11" s="359"/>
      <c r="K11" s="359"/>
      <c r="L11" s="360"/>
      <c r="M11" s="359"/>
      <c r="N11" s="360"/>
      <c r="O11" s="359"/>
      <c r="P11" s="359"/>
      <c r="Q11" s="359"/>
      <c r="R11" s="359"/>
      <c r="S11" s="359"/>
      <c r="T11" s="359"/>
      <c r="U11" s="359"/>
    </row>
    <row r="12" spans="1:21" s="15" customFormat="1" ht="19.5" customHeight="1">
      <c r="A12" s="433">
        <v>3</v>
      </c>
      <c r="B12" s="434" t="s">
        <v>74</v>
      </c>
      <c r="C12" s="435"/>
      <c r="D12" s="435"/>
      <c r="E12" s="436">
        <f>E14</f>
        <v>163398.89708999998</v>
      </c>
      <c r="F12" s="14"/>
      <c r="G12" s="356"/>
      <c r="H12" s="357"/>
      <c r="I12" s="359"/>
      <c r="J12" s="359"/>
      <c r="K12" s="359"/>
      <c r="L12" s="360"/>
      <c r="M12" s="359"/>
      <c r="N12" s="360"/>
      <c r="O12" s="359"/>
      <c r="P12" s="359"/>
      <c r="Q12" s="359"/>
      <c r="R12" s="359"/>
      <c r="S12" s="359"/>
      <c r="T12" s="359"/>
      <c r="U12" s="359"/>
    </row>
    <row r="13" spans="1:21" ht="19.5" customHeight="1">
      <c r="A13" s="437"/>
      <c r="B13" s="440" t="s">
        <v>75</v>
      </c>
      <c r="C13" s="438"/>
      <c r="D13" s="438"/>
      <c r="E13" s="439"/>
      <c r="F13" s="14"/>
      <c r="G13" s="356"/>
      <c r="H13" s="357"/>
      <c r="I13" s="104"/>
      <c r="J13" s="361"/>
      <c r="K13" s="361"/>
      <c r="L13" s="362"/>
      <c r="M13" s="104"/>
      <c r="N13" s="362"/>
      <c r="O13" s="104"/>
      <c r="P13" s="104"/>
      <c r="Q13" s="104"/>
      <c r="R13" s="104"/>
      <c r="S13" s="104"/>
      <c r="T13" s="104"/>
      <c r="U13" s="104"/>
    </row>
    <row r="14" spans="1:21" ht="19.5" customHeight="1">
      <c r="A14" s="437"/>
      <c r="B14" s="440" t="s">
        <v>76</v>
      </c>
      <c r="C14" s="441">
        <f>'Bieu 3'!K22-'Bieu 3'!K25</f>
        <v>32082.214500000002</v>
      </c>
      <c r="D14" s="438">
        <f>'Bieu 3'!O26+'Bieu 3'!O64+'Bieu 3'!O73</f>
        <v>78660.21</v>
      </c>
      <c r="E14" s="439">
        <f>('Bieu 4'!T12-'Bieu 4'!T12*10%)+'Bieu 4'!T32+'Bieu 4'!T52+'Bieu 4'!V10</f>
        <v>163398.89708999998</v>
      </c>
      <c r="F14" s="14"/>
      <c r="G14" s="356"/>
      <c r="H14" s="357"/>
      <c r="I14" s="363" t="s">
        <v>77</v>
      </c>
      <c r="J14" s="361"/>
      <c r="K14" s="364">
        <f>E14+E9</f>
        <v>208285.91848999998</v>
      </c>
      <c r="L14" s="365" t="s">
        <v>231</v>
      </c>
      <c r="M14" s="382" t="s">
        <v>806</v>
      </c>
      <c r="N14" s="363" t="s">
        <v>103</v>
      </c>
      <c r="O14" s="104"/>
      <c r="P14" s="104"/>
      <c r="Q14" s="104"/>
      <c r="R14" s="104"/>
      <c r="S14" s="104"/>
      <c r="T14" s="104"/>
      <c r="U14" s="104"/>
    </row>
    <row r="15" spans="1:21" ht="19.5" customHeight="1">
      <c r="A15" s="437"/>
      <c r="B15" s="440" t="s">
        <v>80</v>
      </c>
      <c r="C15" s="438"/>
      <c r="D15" s="438"/>
      <c r="E15" s="439"/>
      <c r="F15" s="14"/>
      <c r="G15" s="356"/>
      <c r="H15" s="357"/>
      <c r="I15" s="367">
        <f>'Bieu 4'!V10+'Bieu 4'!U10</f>
        <v>8338.5</v>
      </c>
      <c r="J15" s="361"/>
      <c r="K15" s="361"/>
      <c r="L15" s="367">
        <f>'Bieu 4'!T10+'Bieu 4'!V10</f>
        <v>179484.39609999998</v>
      </c>
      <c r="M15" s="367">
        <f>E10+E11+E21+E22</f>
        <v>16085.49901</v>
      </c>
      <c r="N15" s="367">
        <f>'Bieu 4'!S11+'Bieu 4'!S49+'Bieu 4'!U10</f>
        <v>44287.0214</v>
      </c>
      <c r="O15" s="104"/>
      <c r="P15" s="104"/>
      <c r="Q15" s="104"/>
      <c r="R15" s="104"/>
      <c r="S15" s="104"/>
      <c r="T15" s="104"/>
      <c r="U15" s="104"/>
    </row>
    <row r="16" spans="1:21" ht="19.5" customHeight="1">
      <c r="A16" s="437"/>
      <c r="B16" s="440" t="s">
        <v>81</v>
      </c>
      <c r="C16" s="438"/>
      <c r="D16" s="438"/>
      <c r="E16" s="439"/>
      <c r="F16" s="14"/>
      <c r="G16" s="356"/>
      <c r="H16" s="357"/>
      <c r="I16" s="104"/>
      <c r="J16" s="361"/>
      <c r="K16" s="361"/>
      <c r="L16" s="362"/>
      <c r="M16" s="367"/>
      <c r="N16" s="362"/>
      <c r="O16" s="104"/>
      <c r="P16" s="104"/>
      <c r="Q16" s="104"/>
      <c r="R16" s="104"/>
      <c r="S16" s="104"/>
      <c r="T16" s="104"/>
      <c r="U16" s="104"/>
    </row>
    <row r="17" spans="1:21" ht="19.5" customHeight="1">
      <c r="A17" s="437"/>
      <c r="B17" s="440" t="s">
        <v>82</v>
      </c>
      <c r="C17" s="438"/>
      <c r="D17" s="438"/>
      <c r="E17" s="439"/>
      <c r="F17" s="14"/>
      <c r="G17" s="356"/>
      <c r="H17" s="357" t="s">
        <v>803</v>
      </c>
      <c r="I17" s="647">
        <v>779581</v>
      </c>
      <c r="J17" s="647"/>
      <c r="K17" s="647"/>
      <c r="L17" s="647"/>
      <c r="M17" s="367" t="s">
        <v>804</v>
      </c>
      <c r="N17" s="362" t="s">
        <v>805</v>
      </c>
      <c r="O17" s="104"/>
      <c r="P17" s="104"/>
      <c r="Q17" s="104"/>
      <c r="R17" s="104"/>
      <c r="S17" s="104"/>
      <c r="T17" s="104"/>
      <c r="U17" s="104"/>
    </row>
    <row r="18" spans="1:21" ht="19.5" customHeight="1">
      <c r="A18" s="437"/>
      <c r="B18" s="440" t="s">
        <v>83</v>
      </c>
      <c r="C18" s="438"/>
      <c r="D18" s="438"/>
      <c r="E18" s="439"/>
      <c r="F18" s="14"/>
      <c r="G18" s="356"/>
      <c r="H18" s="357">
        <v>2013</v>
      </c>
      <c r="I18" s="648">
        <v>73500</v>
      </c>
      <c r="J18" s="648"/>
      <c r="K18" s="648"/>
      <c r="L18" s="648"/>
      <c r="M18" s="368">
        <f>I17-I18</f>
        <v>706081</v>
      </c>
      <c r="N18" s="368">
        <f>+(M18-222872)/3</f>
        <v>161069.66666666666</v>
      </c>
      <c r="O18" s="368"/>
      <c r="P18" s="104"/>
      <c r="Q18" s="104"/>
      <c r="R18" s="104"/>
      <c r="S18" s="104"/>
      <c r="T18" s="104"/>
      <c r="U18" s="104"/>
    </row>
    <row r="19" spans="1:21" ht="19.5" customHeight="1">
      <c r="A19" s="437"/>
      <c r="B19" s="440" t="s">
        <v>84</v>
      </c>
      <c r="C19" s="438"/>
      <c r="D19" s="438"/>
      <c r="E19" s="439"/>
      <c r="F19" s="14"/>
      <c r="G19" s="356"/>
      <c r="H19" s="357"/>
      <c r="I19" s="104"/>
      <c r="J19" s="361"/>
      <c r="K19" s="361"/>
      <c r="L19" s="362"/>
      <c r="M19" s="104"/>
      <c r="N19" s="362"/>
      <c r="O19" s="104"/>
      <c r="P19" s="104"/>
      <c r="Q19" s="104"/>
      <c r="R19" s="104"/>
      <c r="S19" s="104"/>
      <c r="T19" s="104"/>
      <c r="U19" s="104"/>
    </row>
    <row r="20" spans="1:21" ht="19.5" customHeight="1">
      <c r="A20" s="442">
        <v>4</v>
      </c>
      <c r="B20" s="443" t="s">
        <v>85</v>
      </c>
      <c r="C20" s="444"/>
      <c r="D20" s="445"/>
      <c r="E20" s="445"/>
      <c r="F20" s="14"/>
      <c r="G20" s="356"/>
      <c r="H20" s="357"/>
      <c r="I20" s="104"/>
      <c r="J20" s="361" t="s">
        <v>86</v>
      </c>
      <c r="K20" s="364">
        <f>E10+E11+E20+E21+E22</f>
        <v>16085.49901</v>
      </c>
      <c r="L20" s="358"/>
      <c r="M20" s="104"/>
      <c r="N20" s="358"/>
      <c r="O20" s="104"/>
      <c r="P20" s="104"/>
      <c r="Q20" s="104"/>
      <c r="R20" s="104"/>
      <c r="S20" s="104"/>
      <c r="T20" s="104"/>
      <c r="U20" s="104"/>
    </row>
    <row r="21" spans="1:21" ht="19.5" customHeight="1">
      <c r="A21" s="442">
        <v>5</v>
      </c>
      <c r="B21" s="443" t="s">
        <v>87</v>
      </c>
      <c r="C21" s="446"/>
      <c r="D21" s="446"/>
      <c r="E21" s="447">
        <f>'Bieu 3'!S26*10%</f>
        <v>16085.49901</v>
      </c>
      <c r="F21" s="14"/>
      <c r="G21" s="356"/>
      <c r="H21" s="357"/>
      <c r="I21" s="104"/>
      <c r="J21" s="361" t="s">
        <v>77</v>
      </c>
      <c r="K21" s="364">
        <v>10980</v>
      </c>
      <c r="L21" s="358"/>
      <c r="M21" s="104"/>
      <c r="N21" s="358"/>
      <c r="O21" s="104"/>
      <c r="P21" s="104"/>
      <c r="Q21" s="104"/>
      <c r="R21" s="104"/>
      <c r="S21" s="104"/>
      <c r="T21" s="104"/>
      <c r="U21" s="104"/>
    </row>
    <row r="22" spans="1:21" ht="19.5" customHeight="1">
      <c r="A22" s="442">
        <v>6</v>
      </c>
      <c r="B22" s="443" t="s">
        <v>88</v>
      </c>
      <c r="C22" s="446">
        <v>36700</v>
      </c>
      <c r="D22" s="446">
        <v>35000</v>
      </c>
      <c r="E22" s="447"/>
      <c r="F22" s="14"/>
      <c r="G22" s="356"/>
      <c r="H22" s="369"/>
      <c r="I22" s="370"/>
      <c r="J22" s="371" t="s">
        <v>89</v>
      </c>
      <c r="K22" s="371">
        <v>268657</v>
      </c>
      <c r="L22" s="372"/>
      <c r="M22" s="373"/>
      <c r="N22" s="373"/>
      <c r="O22" s="370"/>
      <c r="P22" s="370"/>
      <c r="Q22" s="104"/>
      <c r="R22" s="104"/>
      <c r="S22" s="104"/>
      <c r="T22" s="104"/>
      <c r="U22" s="104"/>
    </row>
    <row r="23" spans="1:21" ht="19.5" customHeight="1">
      <c r="A23" s="437">
        <v>7</v>
      </c>
      <c r="B23" s="434" t="s">
        <v>90</v>
      </c>
      <c r="C23" s="438"/>
      <c r="D23" s="438"/>
      <c r="E23" s="439"/>
      <c r="F23" s="14"/>
      <c r="G23" s="569"/>
      <c r="H23" s="651" t="s">
        <v>234</v>
      </c>
      <c r="I23" s="652"/>
      <c r="J23" s="652"/>
      <c r="K23" s="652"/>
      <c r="L23" s="652"/>
      <c r="M23" s="652"/>
      <c r="N23" s="375"/>
      <c r="O23" s="374" t="s">
        <v>801</v>
      </c>
      <c r="P23" s="375"/>
      <c r="Q23" s="104"/>
      <c r="R23" s="104"/>
      <c r="S23" s="104"/>
      <c r="T23" s="104"/>
      <c r="U23" s="104"/>
    </row>
    <row r="24" spans="1:21" ht="19.5" customHeight="1">
      <c r="A24" s="448"/>
      <c r="B24" s="448"/>
      <c r="C24" s="449"/>
      <c r="D24" s="449"/>
      <c r="E24" s="450"/>
      <c r="F24" s="14"/>
      <c r="G24" s="356"/>
      <c r="H24" s="357"/>
      <c r="I24" s="363" t="s">
        <v>77</v>
      </c>
      <c r="J24" s="361"/>
      <c r="K24" s="364">
        <f>E24+E19</f>
        <v>0</v>
      </c>
      <c r="L24" s="365" t="s">
        <v>231</v>
      </c>
      <c r="M24" s="366" t="s">
        <v>79</v>
      </c>
      <c r="N24" s="363" t="s">
        <v>103</v>
      </c>
      <c r="O24" s="104"/>
      <c r="P24" s="104"/>
      <c r="Q24" s="104"/>
      <c r="R24" s="104"/>
      <c r="S24" s="104"/>
      <c r="T24" s="104"/>
      <c r="U24" s="104"/>
    </row>
    <row r="25" spans="1:21" s="200" customFormat="1" ht="19.5" customHeight="1">
      <c r="A25" s="451"/>
      <c r="B25" s="452" t="s">
        <v>91</v>
      </c>
      <c r="C25" s="453">
        <f>C9+C14+C21+C22</f>
        <v>95782.2145</v>
      </c>
      <c r="D25" s="453">
        <f>SUM(D9:D23)</f>
        <v>158408.21000000002</v>
      </c>
      <c r="E25" s="454">
        <f>E8+E11+E12+E21+E22</f>
        <v>224371.41749999998</v>
      </c>
      <c r="F25" s="199"/>
      <c r="G25" s="570"/>
      <c r="H25" s="367" t="s">
        <v>799</v>
      </c>
      <c r="I25" s="367">
        <f>5316.2-3500+5683.8-2000</f>
        <v>5500</v>
      </c>
      <c r="J25" s="367"/>
      <c r="K25" s="367"/>
      <c r="L25" s="367">
        <f>124000-44+62000-22000</f>
        <v>163956</v>
      </c>
      <c r="M25" s="367"/>
      <c r="N25" s="367"/>
      <c r="O25" s="367">
        <f>5500+44000+22000+2000</f>
        <v>73500</v>
      </c>
      <c r="P25" s="376"/>
      <c r="Q25" s="376"/>
      <c r="R25" s="376"/>
      <c r="S25" s="376"/>
      <c r="T25" s="376"/>
      <c r="U25" s="376"/>
    </row>
    <row r="26" spans="2:21" ht="16.5">
      <c r="B26"/>
      <c r="H26" s="367" t="s">
        <v>800</v>
      </c>
      <c r="I26" s="367"/>
      <c r="J26" s="367"/>
      <c r="K26" s="367"/>
      <c r="L26" s="367">
        <f>4000-2000</f>
        <v>2000</v>
      </c>
      <c r="M26" s="367"/>
      <c r="N26" s="367"/>
      <c r="O26" s="104"/>
      <c r="P26" s="104"/>
      <c r="Q26" s="104"/>
      <c r="R26" s="104"/>
      <c r="S26" s="104"/>
      <c r="T26" s="104"/>
      <c r="U26" s="104"/>
    </row>
    <row r="27" spans="2:21" ht="16.5">
      <c r="B27"/>
      <c r="C27" s="112"/>
      <c r="E27" s="368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2:21" ht="16.5">
      <c r="B28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8:21" ht="16.5">
      <c r="H29" s="104"/>
      <c r="I29" s="104"/>
      <c r="J29" s="104"/>
      <c r="K29" s="104"/>
      <c r="L29" s="368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5:21" ht="16.5">
      <c r="E30" s="368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</row>
    <row r="31" spans="5:21" ht="16.5">
      <c r="E31" s="36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</row>
    <row r="32" spans="8:21" ht="16.5"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</row>
    <row r="33" spans="8:21" ht="16.5">
      <c r="H33" s="104"/>
      <c r="I33" s="104"/>
      <c r="J33" s="104"/>
      <c r="K33" s="104"/>
      <c r="L33" s="104"/>
      <c r="M33" s="104"/>
      <c r="N33" s="104"/>
      <c r="O33" s="374" t="s">
        <v>802</v>
      </c>
      <c r="P33" s="104"/>
      <c r="Q33" s="104"/>
      <c r="R33" s="104"/>
      <c r="S33" s="104"/>
      <c r="T33" s="104"/>
      <c r="U33" s="104"/>
    </row>
    <row r="34" spans="8:21" ht="39.75" customHeight="1">
      <c r="H34" s="104"/>
      <c r="I34" s="649"/>
      <c r="J34" s="104"/>
      <c r="K34" s="104"/>
      <c r="L34" s="104"/>
      <c r="M34" s="104"/>
      <c r="N34" s="367"/>
      <c r="O34" s="367">
        <f>28356.39*20800</f>
        <v>589812912</v>
      </c>
      <c r="P34" s="104"/>
      <c r="Q34" s="104"/>
      <c r="R34" s="104"/>
      <c r="S34" s="104"/>
      <c r="T34" s="104"/>
      <c r="U34" s="104"/>
    </row>
    <row r="35" spans="8:21" ht="16.5">
      <c r="H35" s="104"/>
      <c r="I35" s="650"/>
      <c r="J35" s="104"/>
      <c r="K35" s="104"/>
      <c r="L35" s="104"/>
      <c r="M35" s="104"/>
      <c r="N35" s="367"/>
      <c r="O35" s="104"/>
      <c r="P35" s="104"/>
      <c r="Q35" s="104"/>
      <c r="R35" s="104"/>
      <c r="S35" s="104"/>
      <c r="T35" s="104"/>
      <c r="U35" s="104"/>
    </row>
    <row r="36" spans="8:21" ht="39.75" customHeight="1">
      <c r="H36" s="104"/>
      <c r="I36" s="649"/>
      <c r="J36" s="104"/>
      <c r="K36" s="104"/>
      <c r="L36" s="104"/>
      <c r="M36" s="104"/>
      <c r="N36" s="367"/>
      <c r="O36" s="104"/>
      <c r="P36" s="104"/>
      <c r="Q36" s="104"/>
      <c r="R36" s="104"/>
      <c r="S36" s="104"/>
      <c r="T36" s="104"/>
      <c r="U36" s="104"/>
    </row>
    <row r="37" spans="8:21" ht="16.5">
      <c r="H37" s="104"/>
      <c r="I37" s="650"/>
      <c r="J37" s="104"/>
      <c r="K37" s="104"/>
      <c r="L37" s="104"/>
      <c r="M37" s="104"/>
      <c r="N37" s="367"/>
      <c r="O37" s="104"/>
      <c r="P37" s="104"/>
      <c r="Q37" s="104"/>
      <c r="R37" s="104"/>
      <c r="S37" s="104"/>
      <c r="T37" s="104"/>
      <c r="U37" s="104"/>
    </row>
    <row r="38" spans="8:21" ht="39.75" customHeight="1">
      <c r="H38" s="104"/>
      <c r="I38" s="649"/>
      <c r="J38" s="104"/>
      <c r="K38" s="104"/>
      <c r="L38" s="104"/>
      <c r="M38" s="381">
        <v>44887</v>
      </c>
      <c r="N38" s="367">
        <f>M38+M39-400</f>
        <v>210269</v>
      </c>
      <c r="O38" s="367"/>
      <c r="P38" s="367"/>
      <c r="Q38" s="104"/>
      <c r="R38" s="104"/>
      <c r="S38" s="104"/>
      <c r="T38" s="104"/>
      <c r="U38" s="104"/>
    </row>
    <row r="39" spans="8:21" ht="16.5">
      <c r="H39" s="104"/>
      <c r="I39" s="650"/>
      <c r="J39" s="104"/>
      <c r="K39" s="104"/>
      <c r="L39" s="104"/>
      <c r="M39" s="367">
        <v>165782</v>
      </c>
      <c r="N39" s="104"/>
      <c r="O39" s="104"/>
      <c r="P39" s="104"/>
      <c r="Q39" s="104"/>
      <c r="R39" s="104"/>
      <c r="S39" s="104"/>
      <c r="T39" s="104"/>
      <c r="U39" s="104"/>
    </row>
    <row r="40" spans="8:21" ht="18.75">
      <c r="H40" s="104"/>
      <c r="I40" s="377"/>
      <c r="J40" s="104"/>
      <c r="K40" s="104"/>
      <c r="L40" s="104"/>
      <c r="M40" s="367">
        <v>12202</v>
      </c>
      <c r="N40" s="104"/>
      <c r="O40" s="104"/>
      <c r="P40" s="104"/>
      <c r="Q40" s="104"/>
      <c r="R40" s="104"/>
      <c r="S40" s="104"/>
      <c r="T40" s="104"/>
      <c r="U40" s="104"/>
    </row>
    <row r="41" spans="2:21" ht="17.25">
      <c r="B41" s="16"/>
      <c r="H41" s="104"/>
      <c r="I41" s="104"/>
      <c r="J41" s="104"/>
      <c r="K41" s="104"/>
      <c r="L41" s="104"/>
      <c r="M41" s="381">
        <v>0</v>
      </c>
      <c r="N41" s="104"/>
      <c r="O41" s="104"/>
      <c r="P41" s="104"/>
      <c r="Q41" s="104"/>
      <c r="R41" s="104"/>
      <c r="S41" s="104"/>
      <c r="T41" s="104"/>
      <c r="U41" s="104"/>
    </row>
    <row r="42" spans="8:21" ht="16.5">
      <c r="H42" s="104"/>
      <c r="I42" s="104"/>
      <c r="J42" s="104"/>
      <c r="K42" s="104"/>
      <c r="L42" s="104"/>
      <c r="M42" s="367">
        <f>SUM(M38:M41)</f>
        <v>222871</v>
      </c>
      <c r="N42" s="104"/>
      <c r="O42" s="104"/>
      <c r="P42" s="104"/>
      <c r="Q42" s="104"/>
      <c r="R42" s="104"/>
      <c r="S42" s="104"/>
      <c r="T42" s="104"/>
      <c r="U42" s="104"/>
    </row>
    <row r="43" spans="8:21" ht="16.5"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</row>
    <row r="44" spans="8:21" ht="16.5"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</row>
    <row r="45" spans="8:21" ht="16.5"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</row>
    <row r="46" spans="8:21" ht="16.5"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</row>
    <row r="47" spans="8:21" ht="16.5"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6:21" ht="16.5">
      <c r="F48" s="17"/>
      <c r="G48" s="17"/>
      <c r="H48" s="378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</row>
    <row r="49" spans="8:21" ht="16.5"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2:21" ht="16.5">
      <c r="B50" s="16"/>
      <c r="F50" s="15"/>
      <c r="G50" s="15"/>
      <c r="H50" s="359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</row>
    <row r="51" spans="8:21" ht="16.5"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</row>
    <row r="52" spans="8:21" ht="16.5"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2:21" ht="16.5">
      <c r="B53" s="16"/>
      <c r="F53" s="15"/>
      <c r="G53" s="15"/>
      <c r="H53" s="359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</row>
    <row r="54" spans="8:21" ht="16.5"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</row>
    <row r="55" spans="6:21" ht="16.5">
      <c r="F55" s="18"/>
      <c r="G55" s="18"/>
      <c r="H55" s="37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</row>
    <row r="56" spans="2:21" ht="16.5">
      <c r="B56" s="19"/>
      <c r="F56" s="20"/>
      <c r="G56" s="20"/>
      <c r="H56" s="380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</row>
    <row r="57" spans="2:21" ht="16.5">
      <c r="B57" s="16"/>
      <c r="F57" s="18"/>
      <c r="G57" s="18"/>
      <c r="H57" s="379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</row>
    <row r="58" spans="2:21" ht="16.5">
      <c r="B58" s="16"/>
      <c r="F58" s="18"/>
      <c r="G58" s="18"/>
      <c r="H58" s="379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</row>
    <row r="59" spans="6:21" ht="16.5">
      <c r="F59" s="18"/>
      <c r="G59" s="18"/>
      <c r="H59" s="379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</row>
    <row r="60" spans="8:21" ht="16.5"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</row>
    <row r="61" spans="8:21" ht="16.5"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</row>
    <row r="62" spans="8:21" ht="16.5"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</row>
    <row r="63" spans="8:21" ht="16.5"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</row>
    <row r="64" spans="8:21" ht="16.5"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8:21" ht="16.5"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</row>
    <row r="66" spans="8:21" ht="16.5"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</row>
    <row r="67" spans="8:21" ht="16.5"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</row>
    <row r="68" spans="8:21" ht="16.5"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</row>
    <row r="69" spans="8:21" ht="16.5"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0" spans="8:21" ht="16.5"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</row>
    <row r="71" spans="8:21" ht="16.5"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8:21" ht="16.5"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</row>
    <row r="73" spans="8:21" ht="16.5"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</row>
    <row r="74" spans="8:21" ht="16.5"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</row>
    <row r="75" spans="8:21" ht="16.5"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8:21" ht="16.5"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</row>
    <row r="77" spans="8:21" ht="16.5"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</row>
    <row r="78" spans="8:21" ht="16.5"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</row>
    <row r="79" spans="8:21" ht="16.5"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</row>
    <row r="80" spans="8:21" ht="16.5"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</row>
    <row r="81" spans="8:21" ht="16.5"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</row>
    <row r="82" spans="8:21" ht="16.5"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</row>
    <row r="83" spans="8:21" ht="16.5"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</row>
    <row r="84" spans="8:21" ht="16.5"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</row>
  </sheetData>
  <sheetProtection/>
  <mergeCells count="11">
    <mergeCell ref="A1:F1"/>
    <mergeCell ref="A2:F2"/>
    <mergeCell ref="C4:D4"/>
    <mergeCell ref="E4:E6"/>
    <mergeCell ref="F4:F6"/>
    <mergeCell ref="I17:L17"/>
    <mergeCell ref="I18:L18"/>
    <mergeCell ref="I36:I37"/>
    <mergeCell ref="I38:I39"/>
    <mergeCell ref="I34:I35"/>
    <mergeCell ref="H23:M23"/>
  </mergeCells>
  <printOptions/>
  <pageMargins left="0.75" right="0.75" top="0.5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pane ySplit="7" topLeftCell="BM29" activePane="bottomLeft" state="frozen"/>
      <selection pane="topLeft" activeCell="A1" sqref="A1"/>
      <selection pane="bottomLeft" activeCell="A1" sqref="A1:U1"/>
    </sheetView>
  </sheetViews>
  <sheetFormatPr defaultColWidth="9.140625" defaultRowHeight="18" customHeight="1"/>
  <cols>
    <col min="1" max="1" width="4.140625" style="57" customWidth="1"/>
    <col min="2" max="2" width="22.57421875" style="58" customWidth="1"/>
    <col min="3" max="4" width="6.8515625" style="59" customWidth="1"/>
    <col min="5" max="5" width="5.28125" style="59" customWidth="1"/>
    <col min="6" max="6" width="5.00390625" style="59" customWidth="1"/>
    <col min="7" max="7" width="7.7109375" style="60" customWidth="1"/>
    <col min="8" max="8" width="7.140625" style="60" customWidth="1"/>
    <col min="9" max="9" width="7.57421875" style="60" customWidth="1"/>
    <col min="10" max="10" width="7.00390625" style="60" customWidth="1"/>
    <col min="11" max="11" width="6.140625" style="60" customWidth="1"/>
    <col min="12" max="12" width="6.00390625" style="60" customWidth="1"/>
    <col min="13" max="13" width="7.00390625" style="60" customWidth="1"/>
    <col min="14" max="14" width="6.00390625" style="60" customWidth="1"/>
    <col min="15" max="15" width="6.421875" style="96" customWidth="1"/>
    <col min="16" max="16" width="5.8515625" style="96" customWidth="1"/>
    <col min="17" max="17" width="6.28125" style="60" customWidth="1"/>
    <col min="18" max="18" width="5.7109375" style="60" customWidth="1"/>
    <col min="19" max="19" width="6.28125" style="60" customWidth="1"/>
    <col min="20" max="20" width="5.8515625" style="60" customWidth="1"/>
    <col min="21" max="21" width="4.57421875" style="60" customWidth="1"/>
    <col min="22" max="22" width="9.140625" style="21" customWidth="1"/>
    <col min="23" max="23" width="12.7109375" style="21" customWidth="1"/>
    <col min="24" max="25" width="9.140625" style="21" customWidth="1"/>
    <col min="26" max="16384" width="9.140625" style="22" customWidth="1"/>
  </cols>
  <sheetData>
    <row r="1" spans="1:21" ht="48" customHeight="1">
      <c r="A1" s="668" t="s">
        <v>851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</row>
    <row r="2" spans="1:25" s="24" customFormat="1" ht="18" customHeight="1">
      <c r="A2" s="634" t="s">
        <v>92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23"/>
      <c r="W2" s="79" t="s">
        <v>215</v>
      </c>
      <c r="X2" s="79"/>
      <c r="Y2" s="23"/>
    </row>
    <row r="3" spans="1:21" s="26" customFormat="1" ht="51.75" customHeight="1">
      <c r="A3" s="665" t="s">
        <v>40</v>
      </c>
      <c r="B3" s="665" t="s">
        <v>93</v>
      </c>
      <c r="C3" s="665" t="s">
        <v>94</v>
      </c>
      <c r="D3" s="665" t="s">
        <v>95</v>
      </c>
      <c r="E3" s="665" t="s">
        <v>96</v>
      </c>
      <c r="F3" s="635" t="s">
        <v>97</v>
      </c>
      <c r="G3" s="635"/>
      <c r="H3" s="635"/>
      <c r="I3" s="665" t="s">
        <v>160</v>
      </c>
      <c r="J3" s="636"/>
      <c r="K3" s="635" t="s">
        <v>161</v>
      </c>
      <c r="L3" s="662"/>
      <c r="M3" s="635" t="s">
        <v>162</v>
      </c>
      <c r="N3" s="662"/>
      <c r="O3" s="635" t="s">
        <v>163</v>
      </c>
      <c r="P3" s="662"/>
      <c r="Q3" s="635" t="s">
        <v>164</v>
      </c>
      <c r="R3" s="635"/>
      <c r="S3" s="665" t="s">
        <v>165</v>
      </c>
      <c r="T3" s="636"/>
      <c r="U3" s="665" t="s">
        <v>67</v>
      </c>
    </row>
    <row r="4" spans="1:21" s="26" customFormat="1" ht="18" customHeight="1">
      <c r="A4" s="665"/>
      <c r="B4" s="665"/>
      <c r="C4" s="665"/>
      <c r="D4" s="665"/>
      <c r="E4" s="665"/>
      <c r="F4" s="635" t="s">
        <v>98</v>
      </c>
      <c r="G4" s="635" t="s">
        <v>99</v>
      </c>
      <c r="H4" s="635"/>
      <c r="I4" s="635" t="s">
        <v>100</v>
      </c>
      <c r="J4" s="662" t="s">
        <v>101</v>
      </c>
      <c r="K4" s="635" t="s">
        <v>100</v>
      </c>
      <c r="L4" s="662" t="s">
        <v>101</v>
      </c>
      <c r="M4" s="635" t="s">
        <v>100</v>
      </c>
      <c r="N4" s="662" t="s">
        <v>101</v>
      </c>
      <c r="O4" s="635" t="s">
        <v>100</v>
      </c>
      <c r="P4" s="662" t="s">
        <v>101</v>
      </c>
      <c r="Q4" s="635" t="s">
        <v>100</v>
      </c>
      <c r="R4" s="662" t="s">
        <v>101</v>
      </c>
      <c r="S4" s="635" t="s">
        <v>100</v>
      </c>
      <c r="T4" s="662" t="s">
        <v>102</v>
      </c>
      <c r="U4" s="665"/>
    </row>
    <row r="5" spans="1:25" s="26" customFormat="1" ht="18" customHeight="1">
      <c r="A5" s="665"/>
      <c r="B5" s="665"/>
      <c r="C5" s="665"/>
      <c r="D5" s="665"/>
      <c r="E5" s="665"/>
      <c r="F5" s="635"/>
      <c r="G5" s="635" t="s">
        <v>100</v>
      </c>
      <c r="H5" s="662" t="s">
        <v>101</v>
      </c>
      <c r="I5" s="635"/>
      <c r="J5" s="662"/>
      <c r="K5" s="635"/>
      <c r="L5" s="662"/>
      <c r="M5" s="635"/>
      <c r="N5" s="662"/>
      <c r="O5" s="635"/>
      <c r="P5" s="662"/>
      <c r="Q5" s="635"/>
      <c r="R5" s="662"/>
      <c r="S5" s="635"/>
      <c r="T5" s="662"/>
      <c r="U5" s="665"/>
      <c r="V5" s="638" t="s">
        <v>214</v>
      </c>
      <c r="W5" s="607"/>
      <c r="X5" s="607"/>
      <c r="Y5" s="607"/>
    </row>
    <row r="6" spans="1:25" s="26" customFormat="1" ht="24.75" customHeight="1">
      <c r="A6" s="665"/>
      <c r="B6" s="665"/>
      <c r="C6" s="665"/>
      <c r="D6" s="665"/>
      <c r="E6" s="665"/>
      <c r="F6" s="635"/>
      <c r="G6" s="637"/>
      <c r="H6" s="662"/>
      <c r="I6" s="635"/>
      <c r="J6" s="662"/>
      <c r="K6" s="635"/>
      <c r="L6" s="662"/>
      <c r="M6" s="635"/>
      <c r="N6" s="662"/>
      <c r="O6" s="635"/>
      <c r="P6" s="662"/>
      <c r="Q6" s="635"/>
      <c r="R6" s="662"/>
      <c r="S6" s="635"/>
      <c r="T6" s="662"/>
      <c r="U6" s="665"/>
      <c r="V6" s="667" t="s">
        <v>242</v>
      </c>
      <c r="W6" s="666" t="s">
        <v>89</v>
      </c>
      <c r="X6" s="666" t="s">
        <v>213</v>
      </c>
      <c r="Y6" s="666" t="s">
        <v>78</v>
      </c>
    </row>
    <row r="7" spans="1:25" s="28" customFormat="1" ht="1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5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5">
        <v>20</v>
      </c>
      <c r="U7" s="27">
        <v>21</v>
      </c>
      <c r="V7" s="667"/>
      <c r="W7" s="666"/>
      <c r="X7" s="666"/>
      <c r="Y7" s="666"/>
    </row>
    <row r="8" spans="1:26" ht="16.5" customHeight="1">
      <c r="A8" s="29"/>
      <c r="B8" s="30" t="s">
        <v>104</v>
      </c>
      <c r="C8" s="30"/>
      <c r="D8" s="30"/>
      <c r="E8" s="30"/>
      <c r="F8" s="30"/>
      <c r="G8" s="455">
        <f>G9+G57+G73</f>
        <v>1145917.588</v>
      </c>
      <c r="H8" s="455"/>
      <c r="I8" s="455">
        <f>I9+I57+I73</f>
        <v>170330.166</v>
      </c>
      <c r="J8" s="455"/>
      <c r="K8" s="455">
        <f>K9+K57+K73</f>
        <v>59082.2145</v>
      </c>
      <c r="L8" s="455"/>
      <c r="M8" s="455">
        <f>M9+M57+M73</f>
        <v>12752</v>
      </c>
      <c r="N8" s="455"/>
      <c r="O8" s="455">
        <f>O9+O57+O73</f>
        <v>123408.21</v>
      </c>
      <c r="P8" s="455"/>
      <c r="Q8" s="455">
        <f>Q9+Q57+Q73+Q93</f>
        <v>47287.692</v>
      </c>
      <c r="R8" s="455"/>
      <c r="S8" s="455">
        <f>S9+S57+S73+S93</f>
        <v>216032.91749999998</v>
      </c>
      <c r="T8" s="32"/>
      <c r="U8" s="31"/>
      <c r="V8" s="33">
        <f>T12+T13+T16+T17+T18+T19+T24+T25</f>
        <v>43887.0214</v>
      </c>
      <c r="W8" s="33">
        <f>S9</f>
        <v>204742.0115</v>
      </c>
      <c r="X8" s="33" t="e">
        <f>#REF!</f>
        <v>#REF!</v>
      </c>
      <c r="Y8" s="33">
        <f>S26+S64+S73</f>
        <v>167281.89609999998</v>
      </c>
      <c r="Z8" s="22" t="e">
        <f>X8+Y8</f>
        <v>#REF!</v>
      </c>
    </row>
    <row r="9" spans="1:25" s="37" customFormat="1" ht="10.5">
      <c r="A9" s="34" t="s">
        <v>105</v>
      </c>
      <c r="B9" s="64" t="s">
        <v>341</v>
      </c>
      <c r="C9" s="35"/>
      <c r="D9" s="35"/>
      <c r="E9" s="35"/>
      <c r="F9" s="35"/>
      <c r="G9" s="52">
        <f>G10+G14+G22</f>
        <v>1142022.682</v>
      </c>
      <c r="H9" s="36"/>
      <c r="I9" s="65">
        <f>I10+I14+I22</f>
        <v>166435.26</v>
      </c>
      <c r="J9" s="36"/>
      <c r="K9" s="40">
        <f>K10+K14+K22</f>
        <v>59082.2145</v>
      </c>
      <c r="L9" s="36"/>
      <c r="M9" s="40">
        <f>M10+M14+M22</f>
        <v>12384</v>
      </c>
      <c r="N9" s="40"/>
      <c r="O9" s="90">
        <f>O10+O14+O229+O22</f>
        <v>119513.304</v>
      </c>
      <c r="P9" s="90"/>
      <c r="Q9" s="40">
        <f>Q10+Q14+Q22</f>
        <v>41419.692</v>
      </c>
      <c r="R9" s="36"/>
      <c r="S9" s="40">
        <f>S10+S14+S22</f>
        <v>204742.0115</v>
      </c>
      <c r="T9" s="36"/>
      <c r="U9" s="36"/>
      <c r="V9" s="21"/>
      <c r="W9" s="21"/>
      <c r="X9" s="21"/>
      <c r="Y9" s="21"/>
    </row>
    <row r="10" spans="1:25" s="43" customFormat="1" ht="11.25">
      <c r="A10" s="34" t="s">
        <v>41</v>
      </c>
      <c r="B10" s="64" t="s">
        <v>106</v>
      </c>
      <c r="C10" s="38"/>
      <c r="D10" s="38"/>
      <c r="E10" s="38"/>
      <c r="F10" s="38"/>
      <c r="G10" s="52">
        <f>G12+G13</f>
        <v>27781</v>
      </c>
      <c r="H10" s="39"/>
      <c r="I10" s="52">
        <f>I12+I13</f>
        <v>11499.75</v>
      </c>
      <c r="J10" s="40"/>
      <c r="K10" s="40">
        <f>K12+K13</f>
        <v>10344</v>
      </c>
      <c r="L10" s="40"/>
      <c r="M10" s="40">
        <f>M12+M13</f>
        <v>3500</v>
      </c>
      <c r="N10" s="40"/>
      <c r="O10" s="90">
        <f>O13+O12</f>
        <v>10344</v>
      </c>
      <c r="P10" s="90"/>
      <c r="Q10" s="40">
        <f>Q12+Q13</f>
        <v>3500</v>
      </c>
      <c r="R10" s="40"/>
      <c r="S10" s="40">
        <f>S12+S13</f>
        <v>6615.75</v>
      </c>
      <c r="T10" s="40"/>
      <c r="U10" s="41"/>
      <c r="V10" s="42" t="e">
        <f>S8-#REF!</f>
        <v>#REF!</v>
      </c>
      <c r="W10" s="42" t="e">
        <f>V10-56702</f>
        <v>#REF!</v>
      </c>
      <c r="X10" s="42"/>
      <c r="Y10" s="42"/>
    </row>
    <row r="11" spans="1:25" s="43" customFormat="1" ht="11.25">
      <c r="A11" s="47"/>
      <c r="B11" s="97" t="s">
        <v>107</v>
      </c>
      <c r="C11" s="38"/>
      <c r="D11" s="38"/>
      <c r="E11" s="38"/>
      <c r="F11" s="38"/>
      <c r="G11" s="39"/>
      <c r="H11" s="39"/>
      <c r="I11" s="61"/>
      <c r="J11" s="39"/>
      <c r="K11" s="39"/>
      <c r="L11" s="39"/>
      <c r="M11" s="39"/>
      <c r="N11" s="39"/>
      <c r="O11" s="92"/>
      <c r="P11" s="92"/>
      <c r="Q11" s="36"/>
      <c r="R11" s="36"/>
      <c r="S11" s="36"/>
      <c r="T11" s="36"/>
      <c r="U11" s="39"/>
      <c r="V11" s="42"/>
      <c r="W11" s="42"/>
      <c r="X11" s="42"/>
      <c r="Y11" s="42"/>
    </row>
    <row r="12" spans="1:25" ht="21.75" customHeight="1">
      <c r="A12" s="44">
        <v>1</v>
      </c>
      <c r="B12" s="48" t="s">
        <v>170</v>
      </c>
      <c r="C12" s="45" t="s">
        <v>108</v>
      </c>
      <c r="D12" s="45" t="s">
        <v>109</v>
      </c>
      <c r="E12" s="45">
        <v>2012</v>
      </c>
      <c r="F12" s="45">
        <v>406</v>
      </c>
      <c r="G12" s="49">
        <v>5541</v>
      </c>
      <c r="H12" s="49">
        <f>G12*75%</f>
        <v>4155.75</v>
      </c>
      <c r="I12" s="49">
        <f>J12</f>
        <v>1155.75</v>
      </c>
      <c r="J12" s="53">
        <f>H12-3000</f>
        <v>1155.75</v>
      </c>
      <c r="K12" s="53"/>
      <c r="L12" s="53"/>
      <c r="M12" s="46">
        <f>N12</f>
        <v>500</v>
      </c>
      <c r="N12" s="46">
        <v>500</v>
      </c>
      <c r="O12" s="91"/>
      <c r="P12" s="91"/>
      <c r="Q12" s="49">
        <f>R12</f>
        <v>500</v>
      </c>
      <c r="R12" s="49">
        <f>N12</f>
        <v>500</v>
      </c>
      <c r="S12" s="46">
        <f>T12</f>
        <v>655.75</v>
      </c>
      <c r="T12" s="46">
        <f>I12-Q12</f>
        <v>655.75</v>
      </c>
      <c r="U12" s="46"/>
      <c r="W12" s="50" t="s">
        <v>110</v>
      </c>
      <c r="X12" s="663"/>
      <c r="Y12" s="663"/>
    </row>
    <row r="13" spans="1:21" ht="22.5" customHeight="1">
      <c r="A13" s="44">
        <v>2</v>
      </c>
      <c r="B13" s="98" t="s">
        <v>119</v>
      </c>
      <c r="C13" s="45" t="s">
        <v>120</v>
      </c>
      <c r="D13" s="45" t="s">
        <v>121</v>
      </c>
      <c r="E13" s="45" t="s">
        <v>122</v>
      </c>
      <c r="F13" s="45">
        <v>956</v>
      </c>
      <c r="G13" s="53">
        <v>22240</v>
      </c>
      <c r="H13" s="49">
        <f>G13*60%</f>
        <v>13344</v>
      </c>
      <c r="I13" s="49">
        <f>J13</f>
        <v>10344</v>
      </c>
      <c r="J13" s="49">
        <f>H13-3000</f>
        <v>10344</v>
      </c>
      <c r="K13" s="49">
        <f>L13</f>
        <v>10344</v>
      </c>
      <c r="L13" s="49">
        <f>J13</f>
        <v>10344</v>
      </c>
      <c r="M13" s="49">
        <f>N13</f>
        <v>3000</v>
      </c>
      <c r="N13" s="49">
        <f>3000</f>
        <v>3000</v>
      </c>
      <c r="O13" s="82">
        <f>P13</f>
        <v>10344</v>
      </c>
      <c r="P13" s="82">
        <f>L13</f>
        <v>10344</v>
      </c>
      <c r="Q13" s="49">
        <f>R13</f>
        <v>3000</v>
      </c>
      <c r="R13" s="49">
        <f>M13</f>
        <v>3000</v>
      </c>
      <c r="S13" s="49">
        <f>T13</f>
        <v>5960</v>
      </c>
      <c r="T13" s="319">
        <v>5960</v>
      </c>
      <c r="U13" s="46"/>
    </row>
    <row r="14" spans="1:25" s="43" customFormat="1" ht="11.25">
      <c r="A14" s="34" t="s">
        <v>42</v>
      </c>
      <c r="B14" s="64" t="s">
        <v>168</v>
      </c>
      <c r="C14" s="38"/>
      <c r="D14" s="38"/>
      <c r="E14" s="38"/>
      <c r="F14" s="38"/>
      <c r="G14" s="74">
        <f>SUM(G16:G21)</f>
        <v>477964.582</v>
      </c>
      <c r="H14" s="61"/>
      <c r="I14" s="52">
        <f>I16+I17+I18+I19</f>
        <v>23786</v>
      </c>
      <c r="J14" s="40"/>
      <c r="K14" s="40">
        <f>K16+K17+K19</f>
        <v>13656</v>
      </c>
      <c r="L14" s="40"/>
      <c r="M14" s="40">
        <f>+M16+M17+M19</f>
        <v>8000</v>
      </c>
      <c r="N14" s="40"/>
      <c r="O14" s="90">
        <f>O16+O17+O18+O19</f>
        <v>22786</v>
      </c>
      <c r="P14" s="90"/>
      <c r="Q14" s="40">
        <f>+Q16+Q17+Q18+Q19</f>
        <v>8000</v>
      </c>
      <c r="R14" s="40"/>
      <c r="S14" s="40">
        <f>+S16+S17+S18+S19</f>
        <v>29571.271399999998</v>
      </c>
      <c r="T14" s="40"/>
      <c r="U14" s="39"/>
      <c r="V14" s="42"/>
      <c r="W14" s="21"/>
      <c r="X14" s="42"/>
      <c r="Y14" s="26"/>
    </row>
    <row r="15" spans="1:25" s="43" customFormat="1" ht="11.25">
      <c r="A15" s="47"/>
      <c r="B15" s="97" t="s">
        <v>107</v>
      </c>
      <c r="C15" s="38"/>
      <c r="D15" s="38"/>
      <c r="E15" s="38"/>
      <c r="F15" s="38"/>
      <c r="G15" s="63"/>
      <c r="H15" s="61"/>
      <c r="I15" s="61"/>
      <c r="J15" s="51"/>
      <c r="K15" s="51"/>
      <c r="L15" s="51"/>
      <c r="M15" s="51"/>
      <c r="N15" s="51"/>
      <c r="O15" s="92"/>
      <c r="P15" s="92"/>
      <c r="Q15" s="51"/>
      <c r="R15" s="51"/>
      <c r="S15" s="51"/>
      <c r="T15" s="51"/>
      <c r="U15" s="39"/>
      <c r="V15" s="42"/>
      <c r="W15" s="42"/>
      <c r="X15" s="664"/>
      <c r="Y15" s="664"/>
    </row>
    <row r="16" spans="1:23" ht="33.75">
      <c r="A16" s="44">
        <v>1</v>
      </c>
      <c r="B16" s="48" t="s">
        <v>811</v>
      </c>
      <c r="C16" s="45" t="s">
        <v>111</v>
      </c>
      <c r="D16" s="45" t="s">
        <v>112</v>
      </c>
      <c r="E16" s="45" t="s">
        <v>818</v>
      </c>
      <c r="F16" s="49">
        <v>375</v>
      </c>
      <c r="G16" s="49">
        <v>62753</v>
      </c>
      <c r="H16" s="49">
        <f>G16*60%</f>
        <v>37651.799999999996</v>
      </c>
      <c r="I16" s="49">
        <f>J16</f>
        <v>6786</v>
      </c>
      <c r="J16" s="49">
        <v>6786</v>
      </c>
      <c r="K16" s="49">
        <f>L16</f>
        <v>4000</v>
      </c>
      <c r="L16" s="49">
        <v>4000</v>
      </c>
      <c r="M16" s="49">
        <f>N16</f>
        <v>2000</v>
      </c>
      <c r="N16" s="49">
        <v>2000</v>
      </c>
      <c r="O16" s="82">
        <f>P16</f>
        <v>6786</v>
      </c>
      <c r="P16" s="82">
        <f>J16</f>
        <v>6786</v>
      </c>
      <c r="Q16" s="49">
        <f>R16</f>
        <v>2000</v>
      </c>
      <c r="R16" s="49">
        <f>M16</f>
        <v>2000</v>
      </c>
      <c r="S16" s="49">
        <f>T16</f>
        <v>6061</v>
      </c>
      <c r="T16" s="49">
        <v>6061</v>
      </c>
      <c r="U16" s="49"/>
      <c r="W16" s="73"/>
    </row>
    <row r="17" spans="1:21" ht="33.75">
      <c r="A17" s="44">
        <v>2</v>
      </c>
      <c r="B17" s="48" t="s">
        <v>810</v>
      </c>
      <c r="C17" s="45" t="s">
        <v>114</v>
      </c>
      <c r="D17" s="45" t="s">
        <v>115</v>
      </c>
      <c r="E17" s="45" t="s">
        <v>113</v>
      </c>
      <c r="F17" s="49">
        <v>509</v>
      </c>
      <c r="G17" s="62">
        <v>69111.182</v>
      </c>
      <c r="H17" s="49">
        <f>G17*60%</f>
        <v>41466.7092</v>
      </c>
      <c r="I17" s="49">
        <f>J17</f>
        <v>7000</v>
      </c>
      <c r="J17" s="49">
        <v>7000</v>
      </c>
      <c r="K17" s="49">
        <f>L17</f>
        <v>5156</v>
      </c>
      <c r="L17" s="49">
        <v>5156</v>
      </c>
      <c r="M17" s="49">
        <f>N17</f>
        <v>3000</v>
      </c>
      <c r="N17" s="49">
        <v>3000</v>
      </c>
      <c r="O17" s="82">
        <f>P17</f>
        <v>7000</v>
      </c>
      <c r="P17" s="82">
        <f>J17</f>
        <v>7000</v>
      </c>
      <c r="Q17" s="49">
        <f>R17</f>
        <v>3000</v>
      </c>
      <c r="R17" s="49">
        <f>M17</f>
        <v>3000</v>
      </c>
      <c r="S17" s="49">
        <f>T17</f>
        <v>8659.3086</v>
      </c>
      <c r="T17" s="49">
        <f>'[1]Capnuoc'!$S$12</f>
        <v>8659.3086</v>
      </c>
      <c r="U17" s="49"/>
    </row>
    <row r="18" spans="1:21" ht="22.5">
      <c r="A18" s="44">
        <v>3</v>
      </c>
      <c r="B18" s="48" t="s">
        <v>169</v>
      </c>
      <c r="C18" s="45" t="s">
        <v>116</v>
      </c>
      <c r="D18" s="45" t="s">
        <v>115</v>
      </c>
      <c r="E18" s="45" t="s">
        <v>113</v>
      </c>
      <c r="F18" s="49">
        <v>379</v>
      </c>
      <c r="G18" s="49">
        <v>36000</v>
      </c>
      <c r="H18" s="49">
        <f>G18*60%</f>
        <v>21600</v>
      </c>
      <c r="I18" s="49">
        <f>J18</f>
        <v>3000</v>
      </c>
      <c r="J18" s="49">
        <v>3000</v>
      </c>
      <c r="K18" s="49"/>
      <c r="L18" s="49"/>
      <c r="M18" s="49"/>
      <c r="N18" s="49"/>
      <c r="O18" s="82">
        <f>P18</f>
        <v>2000</v>
      </c>
      <c r="P18" s="82">
        <v>2000</v>
      </c>
      <c r="Q18" s="49"/>
      <c r="R18" s="49"/>
      <c r="S18" s="49">
        <f>T18</f>
        <v>4530.73</v>
      </c>
      <c r="T18" s="49">
        <f>'[1]Capnuoc'!$S$13</f>
        <v>4530.73</v>
      </c>
      <c r="U18" s="49"/>
    </row>
    <row r="19" spans="1:21" ht="22.5">
      <c r="A19" s="44">
        <v>4</v>
      </c>
      <c r="B19" s="48" t="s">
        <v>809</v>
      </c>
      <c r="C19" s="45" t="s">
        <v>117</v>
      </c>
      <c r="D19" s="45" t="s">
        <v>118</v>
      </c>
      <c r="E19" s="45" t="s">
        <v>818</v>
      </c>
      <c r="F19" s="75">
        <v>1447</v>
      </c>
      <c r="G19" s="61">
        <v>38855.4</v>
      </c>
      <c r="H19" s="49">
        <f>G19*60%</f>
        <v>23313.24</v>
      </c>
      <c r="I19" s="49">
        <f>J19</f>
        <v>7000</v>
      </c>
      <c r="J19" s="49">
        <v>7000</v>
      </c>
      <c r="K19" s="49">
        <f>L19</f>
        <v>4500</v>
      </c>
      <c r="L19" s="49">
        <v>4500</v>
      </c>
      <c r="M19" s="49">
        <f>N19</f>
        <v>3000</v>
      </c>
      <c r="N19" s="49">
        <v>3000</v>
      </c>
      <c r="O19" s="82">
        <f>P19</f>
        <v>7000</v>
      </c>
      <c r="P19" s="82">
        <v>7000</v>
      </c>
      <c r="Q19" s="49">
        <f>R19</f>
        <v>3000</v>
      </c>
      <c r="R19" s="49">
        <f>M19</f>
        <v>3000</v>
      </c>
      <c r="S19" s="49">
        <f>T19</f>
        <v>10320.2328</v>
      </c>
      <c r="T19" s="49">
        <f>'[1]Capnuoc'!$S$14</f>
        <v>10320.2328</v>
      </c>
      <c r="U19" s="49"/>
    </row>
    <row r="20" spans="1:21" ht="18">
      <c r="A20" s="44"/>
      <c r="B20" s="412" t="s">
        <v>819</v>
      </c>
      <c r="C20" s="45"/>
      <c r="D20" s="45"/>
      <c r="E20" s="45"/>
      <c r="F20" s="75"/>
      <c r="G20" s="61"/>
      <c r="H20" s="49"/>
      <c r="I20" s="49"/>
      <c r="J20" s="49"/>
      <c r="K20" s="49"/>
      <c r="L20" s="49"/>
      <c r="M20" s="49"/>
      <c r="N20" s="49"/>
      <c r="O20" s="82"/>
      <c r="P20" s="82"/>
      <c r="Q20" s="49"/>
      <c r="R20" s="49"/>
      <c r="S20" s="49"/>
      <c r="T20" s="49"/>
      <c r="U20" s="411"/>
    </row>
    <row r="21" spans="1:21" ht="24" customHeight="1">
      <c r="A21" s="44">
        <v>1</v>
      </c>
      <c r="B21" s="48" t="s">
        <v>816</v>
      </c>
      <c r="C21" s="45" t="s">
        <v>817</v>
      </c>
      <c r="D21" s="45"/>
      <c r="E21" s="45" t="s">
        <v>818</v>
      </c>
      <c r="F21" s="414">
        <v>759</v>
      </c>
      <c r="G21" s="414">
        <v>271245</v>
      </c>
      <c r="H21" s="414">
        <f>G21</f>
        <v>271245</v>
      </c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0"/>
    </row>
    <row r="22" spans="1:25" s="37" customFormat="1" ht="11.25">
      <c r="A22" s="34" t="s">
        <v>44</v>
      </c>
      <c r="B22" s="64" t="s">
        <v>123</v>
      </c>
      <c r="C22" s="35"/>
      <c r="D22" s="35"/>
      <c r="E22" s="35"/>
      <c r="F22" s="49"/>
      <c r="G22" s="65">
        <f>SUM(G24:G56)</f>
        <v>636277.1000000001</v>
      </c>
      <c r="H22" s="65"/>
      <c r="I22" s="65">
        <f>SUM(I24:I56)</f>
        <v>131149.51</v>
      </c>
      <c r="J22" s="65"/>
      <c r="K22" s="52">
        <f>SUM(K24:K56)</f>
        <v>35082.2145</v>
      </c>
      <c r="L22" s="65"/>
      <c r="M22" s="65">
        <f>SUM(M24:M56)</f>
        <v>884</v>
      </c>
      <c r="N22" s="65"/>
      <c r="O22" s="93">
        <f>O24+O25+O26</f>
        <v>86383.304</v>
      </c>
      <c r="P22" s="93"/>
      <c r="Q22" s="52">
        <f>Q24+Q25+Q26</f>
        <v>29919.692000000003</v>
      </c>
      <c r="R22" s="65"/>
      <c r="S22" s="52">
        <f>S24+S25+S26</f>
        <v>168554.9901</v>
      </c>
      <c r="T22" s="65"/>
      <c r="U22" s="49"/>
      <c r="V22" s="21"/>
      <c r="W22" s="21"/>
      <c r="X22" s="21"/>
      <c r="Y22" s="21"/>
    </row>
    <row r="23" spans="1:25" s="43" customFormat="1" ht="11.25">
      <c r="A23" s="47"/>
      <c r="B23" s="97" t="s">
        <v>184</v>
      </c>
      <c r="C23" s="38"/>
      <c r="D23" s="38"/>
      <c r="E23" s="38"/>
      <c r="F23" s="49"/>
      <c r="G23" s="61"/>
      <c r="H23" s="49"/>
      <c r="I23" s="49"/>
      <c r="J23" s="49"/>
      <c r="K23" s="49"/>
      <c r="L23" s="49"/>
      <c r="M23" s="49"/>
      <c r="N23" s="49"/>
      <c r="O23" s="82"/>
      <c r="P23" s="82"/>
      <c r="Q23" s="49"/>
      <c r="R23" s="49"/>
      <c r="S23" s="49"/>
      <c r="T23" s="49"/>
      <c r="U23" s="49"/>
      <c r="V23" s="42"/>
      <c r="W23" s="42"/>
      <c r="X23" s="42"/>
      <c r="Y23" s="42"/>
    </row>
    <row r="24" spans="1:21" ht="22.5">
      <c r="A24" s="44">
        <v>1</v>
      </c>
      <c r="B24" s="48" t="s">
        <v>124</v>
      </c>
      <c r="C24" s="45" t="s">
        <v>125</v>
      </c>
      <c r="D24" s="45" t="s">
        <v>126</v>
      </c>
      <c r="E24" s="45" t="s">
        <v>320</v>
      </c>
      <c r="F24" s="49"/>
      <c r="G24" s="61">
        <v>24000</v>
      </c>
      <c r="H24" s="61">
        <f>G24*75%</f>
        <v>18000</v>
      </c>
      <c r="I24" s="49"/>
      <c r="J24" s="49"/>
      <c r="K24" s="49"/>
      <c r="L24" s="49"/>
      <c r="M24" s="49"/>
      <c r="N24" s="49"/>
      <c r="O24" s="82"/>
      <c r="P24" s="82"/>
      <c r="Q24" s="49"/>
      <c r="R24" s="49"/>
      <c r="S24" s="49"/>
      <c r="T24" s="49"/>
      <c r="U24" s="49"/>
    </row>
    <row r="25" spans="1:21" ht="22.5">
      <c r="A25" s="44">
        <v>2</v>
      </c>
      <c r="B25" s="48" t="s">
        <v>127</v>
      </c>
      <c r="C25" s="45" t="s">
        <v>128</v>
      </c>
      <c r="D25" s="45" t="s">
        <v>129</v>
      </c>
      <c r="E25" s="45" t="s">
        <v>320</v>
      </c>
      <c r="F25" s="49">
        <v>126</v>
      </c>
      <c r="G25" s="61">
        <v>27513.6</v>
      </c>
      <c r="H25" s="61">
        <f>G25*75%</f>
        <v>20635.199999999997</v>
      </c>
      <c r="I25" s="49">
        <f>J25</f>
        <v>10000</v>
      </c>
      <c r="J25" s="49">
        <v>10000</v>
      </c>
      <c r="K25" s="49">
        <f>L25</f>
        <v>3000</v>
      </c>
      <c r="L25" s="49">
        <v>3000</v>
      </c>
      <c r="M25" s="49">
        <f>N25</f>
        <v>884</v>
      </c>
      <c r="N25" s="49">
        <v>884</v>
      </c>
      <c r="O25" s="82">
        <f>P25</f>
        <v>11250</v>
      </c>
      <c r="P25" s="82">
        <f>'[2]Capnuoc'!$P$18*75%</f>
        <v>11250</v>
      </c>
      <c r="Q25" s="49">
        <f>R25</f>
        <v>884</v>
      </c>
      <c r="R25" s="49">
        <f>M25</f>
        <v>884</v>
      </c>
      <c r="S25" s="49">
        <f>T25</f>
        <v>7700</v>
      </c>
      <c r="T25" s="49">
        <f>'[1]Capnuoc'!$S$18</f>
        <v>7700</v>
      </c>
      <c r="U25" s="49"/>
    </row>
    <row r="26" spans="1:21" ht="11.25">
      <c r="A26" s="44"/>
      <c r="B26" s="97" t="s">
        <v>185</v>
      </c>
      <c r="C26" s="45"/>
      <c r="D26" s="45"/>
      <c r="E26" s="45"/>
      <c r="F26" s="49"/>
      <c r="G26" s="61"/>
      <c r="H26" s="61"/>
      <c r="I26" s="49"/>
      <c r="J26" s="49"/>
      <c r="K26" s="49"/>
      <c r="L26" s="49"/>
      <c r="M26" s="49"/>
      <c r="N26" s="49"/>
      <c r="O26" s="93">
        <f>SUM(O28:O56)</f>
        <v>75133.304</v>
      </c>
      <c r="P26" s="93"/>
      <c r="Q26" s="52">
        <f>SUM(Q27:Q56)</f>
        <v>29035.692000000003</v>
      </c>
      <c r="R26" s="52"/>
      <c r="S26" s="52">
        <f>S27+S30+S33+S36+S39+S42+S45+S48+S51+S54</f>
        <v>160854.9901</v>
      </c>
      <c r="T26" s="49"/>
      <c r="U26" s="49"/>
    </row>
    <row r="27" spans="1:21" ht="26.25" customHeight="1">
      <c r="A27" s="44">
        <v>3</v>
      </c>
      <c r="B27" s="48" t="s">
        <v>131</v>
      </c>
      <c r="C27" s="45" t="s">
        <v>180</v>
      </c>
      <c r="D27" s="45" t="str">
        <f>D33</f>
        <v>2.400m3</v>
      </c>
      <c r="E27" s="45" t="s">
        <v>320</v>
      </c>
      <c r="F27" s="49">
        <v>220</v>
      </c>
      <c r="G27" s="61">
        <v>33181.1</v>
      </c>
      <c r="H27" s="61"/>
      <c r="I27" s="61">
        <f>J27</f>
        <v>9954.33</v>
      </c>
      <c r="J27" s="61">
        <f>G27*30%</f>
        <v>9954.33</v>
      </c>
      <c r="K27" s="49">
        <f>L27</f>
        <v>2986.299</v>
      </c>
      <c r="L27" s="49">
        <f>I27*30%</f>
        <v>2986.299</v>
      </c>
      <c r="M27" s="49"/>
      <c r="N27" s="49"/>
      <c r="O27" s="82"/>
      <c r="P27" s="82"/>
      <c r="Q27" s="49"/>
      <c r="R27" s="49"/>
      <c r="S27" s="49">
        <f>T27</f>
        <v>12113.066299999999</v>
      </c>
      <c r="T27" s="49">
        <f>'[1]Capnuoc'!$S$29</f>
        <v>12113.066299999999</v>
      </c>
      <c r="U27" s="49"/>
    </row>
    <row r="28" spans="1:21" ht="11.25">
      <c r="A28" s="44"/>
      <c r="B28" s="78" t="s">
        <v>318</v>
      </c>
      <c r="C28" s="45"/>
      <c r="D28" s="45"/>
      <c r="E28" s="45"/>
      <c r="F28" s="49"/>
      <c r="G28" s="61"/>
      <c r="H28" s="61">
        <f>G27-H29</f>
        <v>3318.1100000000006</v>
      </c>
      <c r="I28" s="61"/>
      <c r="J28" s="61"/>
      <c r="K28" s="49"/>
      <c r="L28" s="49"/>
      <c r="M28" s="49"/>
      <c r="N28" s="49"/>
      <c r="O28" s="82">
        <f>P28</f>
        <v>443.63450000000006</v>
      </c>
      <c r="P28" s="82">
        <f>'[2]Capnuoc'!$P$29*10%</f>
        <v>443.63450000000006</v>
      </c>
      <c r="Q28" s="49"/>
      <c r="R28" s="49"/>
      <c r="S28" s="49">
        <f>T30</f>
        <v>8534.803799999998</v>
      </c>
      <c r="T28" s="49"/>
      <c r="U28" s="49"/>
    </row>
    <row r="29" spans="1:21" ht="11.25">
      <c r="A29" s="44"/>
      <c r="B29" s="78" t="s">
        <v>319</v>
      </c>
      <c r="C29" s="45"/>
      <c r="D29" s="45"/>
      <c r="E29" s="45"/>
      <c r="F29" s="49"/>
      <c r="G29" s="61"/>
      <c r="H29" s="61">
        <f>G27*90%</f>
        <v>29862.989999999998</v>
      </c>
      <c r="I29" s="61"/>
      <c r="J29" s="61"/>
      <c r="K29" s="49"/>
      <c r="L29" s="49"/>
      <c r="M29" s="49"/>
      <c r="N29" s="49"/>
      <c r="O29" s="82">
        <f>P29</f>
        <v>3992.7105</v>
      </c>
      <c r="P29" s="82">
        <f>'[2]Capnuoc'!$P$29-P28</f>
        <v>3992.7105</v>
      </c>
      <c r="Q29" s="49">
        <f>R29</f>
        <v>2464.251</v>
      </c>
      <c r="R29" s="49">
        <v>2464.251</v>
      </c>
      <c r="S29" s="49"/>
      <c r="T29" s="49"/>
      <c r="U29" s="49"/>
    </row>
    <row r="30" spans="1:21" ht="26.25" customHeight="1">
      <c r="A30" s="44">
        <v>4</v>
      </c>
      <c r="B30" s="48" t="s">
        <v>133</v>
      </c>
      <c r="C30" s="45" t="s">
        <v>134</v>
      </c>
      <c r="D30" s="45" t="s">
        <v>132</v>
      </c>
      <c r="E30" s="45" t="s">
        <v>320</v>
      </c>
      <c r="F30" s="49">
        <v>218</v>
      </c>
      <c r="G30" s="61">
        <v>22243.8</v>
      </c>
      <c r="H30" s="61"/>
      <c r="I30" s="61">
        <f>J30</f>
        <v>6673.139999999999</v>
      </c>
      <c r="J30" s="61">
        <f>G30*30%</f>
        <v>6673.139999999999</v>
      </c>
      <c r="K30" s="49">
        <f>L30</f>
        <v>2001.9419999999998</v>
      </c>
      <c r="L30" s="49">
        <f>I30*30%</f>
        <v>2001.9419999999998</v>
      </c>
      <c r="M30" s="49"/>
      <c r="N30" s="49"/>
      <c r="O30" s="82"/>
      <c r="P30" s="82"/>
      <c r="Q30" s="49"/>
      <c r="R30" s="49"/>
      <c r="S30" s="49">
        <f>T30</f>
        <v>8534.803799999998</v>
      </c>
      <c r="T30" s="49">
        <f>'[1]Capnuoc'!$S$23</f>
        <v>8534.803799999998</v>
      </c>
      <c r="U30" s="49"/>
    </row>
    <row r="31" spans="1:21" ht="11.25">
      <c r="A31" s="44"/>
      <c r="B31" s="78" t="s">
        <v>318</v>
      </c>
      <c r="C31" s="45"/>
      <c r="D31" s="45"/>
      <c r="E31" s="45"/>
      <c r="F31" s="49"/>
      <c r="G31" s="61"/>
      <c r="H31" s="61">
        <f>G30-H32</f>
        <v>2224.380000000001</v>
      </c>
      <c r="I31" s="61"/>
      <c r="J31" s="61"/>
      <c r="K31" s="49"/>
      <c r="L31" s="49"/>
      <c r="M31" s="49"/>
      <c r="N31" s="49"/>
      <c r="O31" s="82">
        <f>P31</f>
        <v>564.094</v>
      </c>
      <c r="P31" s="82">
        <f>'[2]Capnuoc'!$P$23*10%</f>
        <v>564.094</v>
      </c>
      <c r="Q31" s="49"/>
      <c r="R31" s="49"/>
      <c r="S31" s="49"/>
      <c r="T31" s="49"/>
      <c r="U31" s="49"/>
    </row>
    <row r="32" spans="1:21" ht="11.25">
      <c r="A32" s="44"/>
      <c r="B32" s="78" t="s">
        <v>319</v>
      </c>
      <c r="C32" s="45"/>
      <c r="D32" s="45"/>
      <c r="E32" s="45"/>
      <c r="F32" s="49"/>
      <c r="G32" s="61"/>
      <c r="H32" s="61">
        <f>G30*90%</f>
        <v>20019.42</v>
      </c>
      <c r="I32" s="61"/>
      <c r="J32" s="61"/>
      <c r="K32" s="49"/>
      <c r="L32" s="49"/>
      <c r="M32" s="49"/>
      <c r="N32" s="49"/>
      <c r="O32" s="82">
        <f>P32</f>
        <v>5076.8460000000005</v>
      </c>
      <c r="P32" s="82">
        <f>'[2]Capnuoc'!$P$23-P31</f>
        <v>5076.8460000000005</v>
      </c>
      <c r="Q32" s="49">
        <f>R32</f>
        <v>1800</v>
      </c>
      <c r="R32" s="49">
        <v>1800</v>
      </c>
      <c r="S32" s="49"/>
      <c r="T32" s="49"/>
      <c r="U32" s="49"/>
    </row>
    <row r="33" spans="1:25" ht="22.5">
      <c r="A33" s="44">
        <v>5</v>
      </c>
      <c r="B33" s="48" t="s">
        <v>136</v>
      </c>
      <c r="C33" s="45" t="s">
        <v>137</v>
      </c>
      <c r="D33" s="45" t="s">
        <v>135</v>
      </c>
      <c r="E33" s="45" t="s">
        <v>320</v>
      </c>
      <c r="F33" s="49">
        <v>217</v>
      </c>
      <c r="G33" s="61">
        <v>32491.3</v>
      </c>
      <c r="H33" s="61"/>
      <c r="I33" s="61">
        <f>J33</f>
        <v>9747.39</v>
      </c>
      <c r="J33" s="61">
        <f>G33*30%</f>
        <v>9747.39</v>
      </c>
      <c r="K33" s="49">
        <f>L33</f>
        <v>2924.2169999999996</v>
      </c>
      <c r="L33" s="49">
        <f>I33*30%</f>
        <v>2924.2169999999996</v>
      </c>
      <c r="M33" s="49"/>
      <c r="N33" s="49"/>
      <c r="O33" s="82"/>
      <c r="P33" s="82"/>
      <c r="Q33" s="49"/>
      <c r="R33" s="49"/>
      <c r="S33" s="49">
        <f>T33</f>
        <v>14297.7434</v>
      </c>
      <c r="T33" s="49">
        <f>'[1]Capnuoc'!$S$28</f>
        <v>14297.7434</v>
      </c>
      <c r="U33" s="49"/>
      <c r="Y33" s="54"/>
    </row>
    <row r="34" spans="1:25" ht="11.25">
      <c r="A34" s="44"/>
      <c r="B34" s="78" t="s">
        <v>318</v>
      </c>
      <c r="C34" s="45"/>
      <c r="D34" s="45"/>
      <c r="E34" s="45"/>
      <c r="F34" s="49"/>
      <c r="G34" s="61"/>
      <c r="H34" s="61">
        <f>G33-H35</f>
        <v>3249.130000000001</v>
      </c>
      <c r="I34" s="61"/>
      <c r="J34" s="61"/>
      <c r="K34" s="49"/>
      <c r="L34" s="49"/>
      <c r="M34" s="49"/>
      <c r="N34" s="49"/>
      <c r="O34" s="82">
        <f>P34</f>
        <v>657.7637000000001</v>
      </c>
      <c r="P34" s="82">
        <f>'[2]Capnuoc'!$P$28*10%</f>
        <v>657.7637000000001</v>
      </c>
      <c r="Q34" s="49"/>
      <c r="R34" s="49"/>
      <c r="S34" s="49"/>
      <c r="T34" s="49"/>
      <c r="U34" s="49"/>
      <c r="Y34" s="54"/>
    </row>
    <row r="35" spans="1:25" ht="11.25">
      <c r="A35" s="44"/>
      <c r="B35" s="78" t="s">
        <v>319</v>
      </c>
      <c r="C35" s="45"/>
      <c r="D35" s="45"/>
      <c r="E35" s="45"/>
      <c r="F35" s="49"/>
      <c r="G35" s="61"/>
      <c r="H35" s="61">
        <f>G33*90%</f>
        <v>29242.17</v>
      </c>
      <c r="I35" s="61"/>
      <c r="J35" s="61"/>
      <c r="K35" s="49"/>
      <c r="L35" s="49"/>
      <c r="M35" s="49"/>
      <c r="N35" s="49"/>
      <c r="O35" s="82">
        <f>P35</f>
        <v>5919.8733</v>
      </c>
      <c r="P35" s="49">
        <f>'[2]Capnuoc'!$P$28-P34</f>
        <v>5919.8733</v>
      </c>
      <c r="Q35" s="49">
        <f>R35</f>
        <v>2264.583</v>
      </c>
      <c r="R35" s="49">
        <v>2264.583</v>
      </c>
      <c r="S35" s="49"/>
      <c r="T35" s="49"/>
      <c r="U35" s="49"/>
      <c r="Y35" s="54"/>
    </row>
    <row r="36" spans="1:21" ht="33.75">
      <c r="A36" s="44">
        <v>6</v>
      </c>
      <c r="B36" s="48" t="s">
        <v>138</v>
      </c>
      <c r="C36" s="45" t="s">
        <v>139</v>
      </c>
      <c r="D36" s="45" t="s">
        <v>140</v>
      </c>
      <c r="E36" s="45" t="s">
        <v>320</v>
      </c>
      <c r="F36" s="49">
        <v>216</v>
      </c>
      <c r="G36" s="61">
        <v>68545.5</v>
      </c>
      <c r="H36" s="61"/>
      <c r="I36" s="61">
        <f>J36</f>
        <v>20563.649999999998</v>
      </c>
      <c r="J36" s="61">
        <f>G36*30%</f>
        <v>20563.649999999998</v>
      </c>
      <c r="K36" s="49">
        <f>L36</f>
        <v>6169.094999999999</v>
      </c>
      <c r="L36" s="49">
        <f>I36*30%</f>
        <v>6169.094999999999</v>
      </c>
      <c r="M36" s="49"/>
      <c r="N36" s="49"/>
      <c r="O36" s="82"/>
      <c r="P36" s="82"/>
      <c r="Q36" s="49"/>
      <c r="R36" s="49"/>
      <c r="S36" s="49">
        <f>T36</f>
        <v>26113.472799999996</v>
      </c>
      <c r="T36" s="49">
        <f>'[1]Capnuoc'!$S$25</f>
        <v>26113.472799999996</v>
      </c>
      <c r="U36" s="49"/>
    </row>
    <row r="37" spans="1:21" ht="11.25">
      <c r="A37" s="44"/>
      <c r="B37" s="78" t="s">
        <v>318</v>
      </c>
      <c r="C37" s="45"/>
      <c r="D37" s="45"/>
      <c r="E37" s="45"/>
      <c r="F37" s="49"/>
      <c r="G37" s="61"/>
      <c r="H37" s="61">
        <f>G36-H38</f>
        <v>6854.549999999996</v>
      </c>
      <c r="I37" s="61"/>
      <c r="J37" s="61"/>
      <c r="K37" s="49"/>
      <c r="L37" s="49"/>
      <c r="M37" s="49"/>
      <c r="N37" s="49"/>
      <c r="O37" s="82">
        <f>P37</f>
        <v>1894.5419000000002</v>
      </c>
      <c r="P37" s="82">
        <f>'[2]Capnuoc'!$P$25*10%</f>
        <v>1894.5419000000002</v>
      </c>
      <c r="Q37" s="49"/>
      <c r="R37" s="49"/>
      <c r="S37" s="49"/>
      <c r="T37" s="49"/>
      <c r="U37" s="49"/>
    </row>
    <row r="38" spans="1:21" ht="11.25">
      <c r="A38" s="44"/>
      <c r="B38" s="78" t="s">
        <v>319</v>
      </c>
      <c r="C38" s="45"/>
      <c r="D38" s="45"/>
      <c r="E38" s="45"/>
      <c r="F38" s="49"/>
      <c r="G38" s="61"/>
      <c r="H38" s="61">
        <f>G36*90%</f>
        <v>61690.950000000004</v>
      </c>
      <c r="I38" s="61"/>
      <c r="J38" s="61"/>
      <c r="K38" s="49"/>
      <c r="L38" s="49"/>
      <c r="M38" s="49"/>
      <c r="N38" s="49"/>
      <c r="O38" s="82">
        <f>P38</f>
        <v>17050.8771</v>
      </c>
      <c r="P38" s="82">
        <f>'[2]Capnuoc'!$P$25-P37</f>
        <v>17050.8771</v>
      </c>
      <c r="Q38" s="49">
        <f>R38</f>
        <v>11336.858</v>
      </c>
      <c r="R38" s="49">
        <v>11336.858</v>
      </c>
      <c r="S38" s="49"/>
      <c r="T38" s="49"/>
      <c r="U38" s="49"/>
    </row>
    <row r="39" spans="1:21" ht="22.5">
      <c r="A39" s="44">
        <v>7</v>
      </c>
      <c r="B39" s="48" t="s">
        <v>181</v>
      </c>
      <c r="C39" s="45" t="s">
        <v>141</v>
      </c>
      <c r="D39" s="45" t="s">
        <v>142</v>
      </c>
      <c r="E39" s="45" t="s">
        <v>320</v>
      </c>
      <c r="F39" s="49">
        <v>340</v>
      </c>
      <c r="G39" s="61">
        <v>32739.1</v>
      </c>
      <c r="H39" s="61"/>
      <c r="I39" s="61">
        <f>J39</f>
        <v>9821.73</v>
      </c>
      <c r="J39" s="61">
        <f>G39*30%</f>
        <v>9821.73</v>
      </c>
      <c r="K39" s="49">
        <f>L39</f>
        <v>2946.519</v>
      </c>
      <c r="L39" s="49">
        <f>I39*30%</f>
        <v>2946.519</v>
      </c>
      <c r="M39" s="49"/>
      <c r="N39" s="49"/>
      <c r="O39" s="82"/>
      <c r="P39" s="82"/>
      <c r="Q39" s="49"/>
      <c r="R39" s="49"/>
      <c r="S39" s="49">
        <f>T39</f>
        <v>13013.9084</v>
      </c>
      <c r="T39" s="49">
        <f>'[1]Capnuoc'!$S$26</f>
        <v>13013.9084</v>
      </c>
      <c r="U39" s="49"/>
    </row>
    <row r="40" spans="1:21" ht="11.25">
      <c r="A40" s="44"/>
      <c r="B40" s="78" t="s">
        <v>318</v>
      </c>
      <c r="C40" s="45"/>
      <c r="D40" s="45"/>
      <c r="E40" s="45"/>
      <c r="F40" s="49"/>
      <c r="G40" s="61"/>
      <c r="H40" s="61">
        <f>G39-H41</f>
        <v>3273.91</v>
      </c>
      <c r="I40" s="61"/>
      <c r="J40" s="61"/>
      <c r="K40" s="49"/>
      <c r="L40" s="49"/>
      <c r="M40" s="49"/>
      <c r="N40" s="49"/>
      <c r="O40" s="82">
        <f>P40</f>
        <v>850.565</v>
      </c>
      <c r="P40" s="82">
        <f>'[2]Capnuoc'!$P$26*10%</f>
        <v>850.565</v>
      </c>
      <c r="Q40" s="49"/>
      <c r="R40" s="49"/>
      <c r="S40" s="49"/>
      <c r="T40" s="49"/>
      <c r="U40" s="49"/>
    </row>
    <row r="41" spans="1:21" ht="11.25">
      <c r="A41" s="44"/>
      <c r="B41" s="78" t="s">
        <v>319</v>
      </c>
      <c r="C41" s="45"/>
      <c r="D41" s="45"/>
      <c r="E41" s="45"/>
      <c r="F41" s="49"/>
      <c r="G41" s="61"/>
      <c r="H41" s="61">
        <f>G39*90%</f>
        <v>29465.19</v>
      </c>
      <c r="I41" s="61"/>
      <c r="J41" s="61"/>
      <c r="K41" s="49"/>
      <c r="L41" s="49"/>
      <c r="M41" s="49"/>
      <c r="N41" s="49"/>
      <c r="O41" s="82">
        <f>P41</f>
        <v>7655.084999999999</v>
      </c>
      <c r="P41" s="82">
        <f>'[2]Capnuoc'!$P$26-P40</f>
        <v>7655.084999999999</v>
      </c>
      <c r="Q41" s="49">
        <f>R41</f>
        <v>2620</v>
      </c>
      <c r="R41" s="49">
        <v>2620</v>
      </c>
      <c r="S41" s="49"/>
      <c r="T41" s="49"/>
      <c r="U41" s="49"/>
    </row>
    <row r="42" spans="1:21" ht="22.5">
      <c r="A42" s="44">
        <v>8</v>
      </c>
      <c r="B42" s="48" t="s">
        <v>143</v>
      </c>
      <c r="C42" s="45" t="s">
        <v>228</v>
      </c>
      <c r="D42" s="45" t="s">
        <v>144</v>
      </c>
      <c r="E42" s="45" t="s">
        <v>320</v>
      </c>
      <c r="F42" s="49">
        <v>219</v>
      </c>
      <c r="G42" s="61">
        <v>33699.1</v>
      </c>
      <c r="H42" s="61"/>
      <c r="I42" s="61">
        <f>J42</f>
        <v>10109.73</v>
      </c>
      <c r="J42" s="61">
        <f>G42*30%</f>
        <v>10109.73</v>
      </c>
      <c r="K42" s="49">
        <f>L42</f>
        <v>3032.919</v>
      </c>
      <c r="L42" s="49">
        <f>I42*30%</f>
        <v>3032.919</v>
      </c>
      <c r="M42" s="49"/>
      <c r="N42" s="49"/>
      <c r="O42" s="82"/>
      <c r="P42" s="82"/>
      <c r="Q42" s="49"/>
      <c r="R42" s="49"/>
      <c r="S42" s="49">
        <f>T42</f>
        <v>14374.610799999999</v>
      </c>
      <c r="T42" s="49">
        <f>'[1]Capnuoc'!$S$24</f>
        <v>14374.610799999999</v>
      </c>
      <c r="U42" s="49"/>
    </row>
    <row r="43" spans="1:21" ht="11.25">
      <c r="A43" s="44"/>
      <c r="B43" s="78" t="s">
        <v>318</v>
      </c>
      <c r="C43" s="45"/>
      <c r="D43" s="45"/>
      <c r="E43" s="45"/>
      <c r="F43" s="49"/>
      <c r="G43" s="61"/>
      <c r="H43" s="61">
        <f>G42-H44</f>
        <v>3369.91</v>
      </c>
      <c r="I43" s="61"/>
      <c r="J43" s="61"/>
      <c r="K43" s="49"/>
      <c r="L43" s="49"/>
      <c r="M43" s="49"/>
      <c r="N43" s="49"/>
      <c r="O43" s="82">
        <f>P43</f>
        <v>900.5016</v>
      </c>
      <c r="P43" s="82">
        <f>'[2]Capnuoc'!$P$24*10%</f>
        <v>900.5016</v>
      </c>
      <c r="Q43" s="49"/>
      <c r="R43" s="49"/>
      <c r="S43" s="49"/>
      <c r="T43" s="49"/>
      <c r="U43" s="49"/>
    </row>
    <row r="44" spans="1:21" ht="11.25">
      <c r="A44" s="44"/>
      <c r="B44" s="78" t="s">
        <v>319</v>
      </c>
      <c r="C44" s="45"/>
      <c r="D44" s="45"/>
      <c r="E44" s="45"/>
      <c r="F44" s="49"/>
      <c r="G44" s="61"/>
      <c r="H44" s="61">
        <f>G42*90%</f>
        <v>30329.19</v>
      </c>
      <c r="I44" s="61"/>
      <c r="J44" s="61"/>
      <c r="K44" s="49"/>
      <c r="L44" s="49"/>
      <c r="M44" s="49"/>
      <c r="N44" s="49"/>
      <c r="O44" s="82">
        <f>P44</f>
        <v>8104.5144</v>
      </c>
      <c r="P44" s="82">
        <f>'[2]Capnuoc'!$P$24-P43</f>
        <v>8104.5144</v>
      </c>
      <c r="Q44" s="49">
        <f>R44</f>
        <v>2550</v>
      </c>
      <c r="R44" s="49">
        <v>2550</v>
      </c>
      <c r="S44" s="49"/>
      <c r="T44" s="49"/>
      <c r="U44" s="49"/>
    </row>
    <row r="45" spans="1:21" ht="33.75">
      <c r="A45" s="44">
        <v>9</v>
      </c>
      <c r="B45" s="48" t="s">
        <v>182</v>
      </c>
      <c r="C45" s="45" t="s">
        <v>145</v>
      </c>
      <c r="D45" s="45" t="s">
        <v>166</v>
      </c>
      <c r="E45" s="45" t="s">
        <v>797</v>
      </c>
      <c r="F45" s="49">
        <v>471</v>
      </c>
      <c r="G45" s="61">
        <v>78807.2</v>
      </c>
      <c r="H45" s="61"/>
      <c r="I45" s="61">
        <f>J45</f>
        <v>11821.08</v>
      </c>
      <c r="J45" s="61">
        <f>G45*15%</f>
        <v>11821.08</v>
      </c>
      <c r="K45" s="49">
        <f>L45</f>
        <v>3546.324</v>
      </c>
      <c r="L45" s="49">
        <f>I45*30%</f>
        <v>3546.324</v>
      </c>
      <c r="M45" s="49"/>
      <c r="N45" s="49"/>
      <c r="O45" s="82"/>
      <c r="P45" s="82"/>
      <c r="Q45" s="49"/>
      <c r="R45" s="49"/>
      <c r="S45" s="49">
        <f>T45</f>
        <v>15730.2182</v>
      </c>
      <c r="T45" s="49">
        <f>'[1]Capnuoc'!$S$32</f>
        <v>15730.2182</v>
      </c>
      <c r="U45" s="49"/>
    </row>
    <row r="46" spans="1:21" ht="11.25">
      <c r="A46" s="44"/>
      <c r="B46" s="78" t="s">
        <v>318</v>
      </c>
      <c r="C46" s="45"/>
      <c r="D46" s="45"/>
      <c r="E46" s="45"/>
      <c r="F46" s="49"/>
      <c r="G46" s="61"/>
      <c r="H46" s="61">
        <f>G45-H47</f>
        <v>7880.720000000001</v>
      </c>
      <c r="I46" s="61"/>
      <c r="J46" s="61"/>
      <c r="K46" s="49"/>
      <c r="L46" s="49"/>
      <c r="M46" s="49"/>
      <c r="N46" s="49"/>
      <c r="O46" s="82">
        <f>P46</f>
        <v>456.22650000000004</v>
      </c>
      <c r="P46" s="82">
        <f>'[2]Capnuoc'!$P$32*10%</f>
        <v>456.22650000000004</v>
      </c>
      <c r="Q46" s="49"/>
      <c r="R46" s="49"/>
      <c r="S46" s="49"/>
      <c r="T46" s="49"/>
      <c r="U46" s="49"/>
    </row>
    <row r="47" spans="1:21" ht="11.25">
      <c r="A47" s="44"/>
      <c r="B47" s="78" t="s">
        <v>319</v>
      </c>
      <c r="C47" s="45"/>
      <c r="D47" s="45"/>
      <c r="E47" s="45"/>
      <c r="F47" s="49"/>
      <c r="G47" s="61"/>
      <c r="H47" s="61">
        <f>G45*90%</f>
        <v>70926.48</v>
      </c>
      <c r="I47" s="61"/>
      <c r="J47" s="61"/>
      <c r="K47" s="49"/>
      <c r="L47" s="49"/>
      <c r="M47" s="49"/>
      <c r="N47" s="49"/>
      <c r="O47" s="82">
        <f>P47</f>
        <v>4106.038500000001</v>
      </c>
      <c r="P47" s="82">
        <f>'[2]Capnuoc'!$P$32-P46</f>
        <v>4106.038500000001</v>
      </c>
      <c r="Q47" s="49">
        <f>R47</f>
        <v>1500</v>
      </c>
      <c r="R47" s="49">
        <v>1500</v>
      </c>
      <c r="S47" s="49"/>
      <c r="T47" s="49"/>
      <c r="U47" s="49"/>
    </row>
    <row r="48" spans="1:21" ht="33.75">
      <c r="A48" s="44">
        <v>10</v>
      </c>
      <c r="B48" s="48" t="s">
        <v>146</v>
      </c>
      <c r="C48" s="45" t="s">
        <v>147</v>
      </c>
      <c r="D48" s="45" t="s">
        <v>167</v>
      </c>
      <c r="E48" s="45" t="s">
        <v>798</v>
      </c>
      <c r="F48" s="49">
        <v>474</v>
      </c>
      <c r="G48" s="61">
        <v>87969.3</v>
      </c>
      <c r="H48" s="61"/>
      <c r="I48" s="61">
        <f>J48</f>
        <v>13195.395</v>
      </c>
      <c r="J48" s="61">
        <f aca="true" t="shared" si="0" ref="J48:J54">G48*15%</f>
        <v>13195.395</v>
      </c>
      <c r="K48" s="49">
        <f>L48</f>
        <v>3958.6185</v>
      </c>
      <c r="L48" s="49">
        <f>I48*30%</f>
        <v>3958.6185</v>
      </c>
      <c r="M48" s="49"/>
      <c r="N48" s="49"/>
      <c r="O48" s="82"/>
      <c r="P48" s="82"/>
      <c r="Q48" s="49"/>
      <c r="R48" s="49"/>
      <c r="S48" s="49">
        <f>T48</f>
        <v>18040.400400000002</v>
      </c>
      <c r="T48" s="49">
        <f>'[1]Capnuoc'!$S$31</f>
        <v>18040.400400000002</v>
      </c>
      <c r="U48" s="49"/>
    </row>
    <row r="49" spans="1:21" ht="11.25">
      <c r="A49" s="44"/>
      <c r="B49" s="78" t="s">
        <v>318</v>
      </c>
      <c r="C49" s="45"/>
      <c r="D49" s="45"/>
      <c r="E49" s="45"/>
      <c r="F49" s="49"/>
      <c r="G49" s="61"/>
      <c r="H49" s="61">
        <f>G48-H50</f>
        <v>8796.929999999993</v>
      </c>
      <c r="I49" s="61"/>
      <c r="J49" s="49"/>
      <c r="K49" s="49"/>
      <c r="L49" s="49"/>
      <c r="M49" s="49"/>
      <c r="N49" s="49"/>
      <c r="O49" s="82">
        <f>P49</f>
        <v>500.8278</v>
      </c>
      <c r="P49" s="82">
        <f>'[2]Capnuoc'!$P$31*10%</f>
        <v>500.8278</v>
      </c>
      <c r="Q49" s="49"/>
      <c r="R49" s="49"/>
      <c r="S49" s="49"/>
      <c r="T49" s="49"/>
      <c r="U49" s="49"/>
    </row>
    <row r="50" spans="1:21" ht="11.25">
      <c r="A50" s="44"/>
      <c r="B50" s="78" t="s">
        <v>319</v>
      </c>
      <c r="C50" s="45"/>
      <c r="D50" s="45"/>
      <c r="E50" s="45"/>
      <c r="F50" s="49"/>
      <c r="G50" s="61"/>
      <c r="H50" s="61">
        <f>G48*90%</f>
        <v>79172.37000000001</v>
      </c>
      <c r="I50" s="61"/>
      <c r="J50" s="49"/>
      <c r="K50" s="49"/>
      <c r="L50" s="49"/>
      <c r="M50" s="49"/>
      <c r="N50" s="49"/>
      <c r="O50" s="82">
        <f>P50</f>
        <v>4507.4502</v>
      </c>
      <c r="P50" s="82">
        <f>'[2]Capnuoc'!$P$31-P49</f>
        <v>4507.4502</v>
      </c>
      <c r="Q50" s="49">
        <f>R50</f>
        <v>1500</v>
      </c>
      <c r="R50" s="49">
        <v>1500</v>
      </c>
      <c r="S50" s="49"/>
      <c r="T50" s="49"/>
      <c r="U50" s="49"/>
    </row>
    <row r="51" spans="1:21" ht="33.75">
      <c r="A51" s="44">
        <v>11</v>
      </c>
      <c r="B51" s="48" t="s">
        <v>148</v>
      </c>
      <c r="C51" s="45" t="s">
        <v>229</v>
      </c>
      <c r="D51" s="45" t="s">
        <v>183</v>
      </c>
      <c r="E51" s="45" t="s">
        <v>798</v>
      </c>
      <c r="F51" s="45">
        <v>473</v>
      </c>
      <c r="G51" s="61">
        <v>100361.8</v>
      </c>
      <c r="H51" s="62"/>
      <c r="I51" s="61">
        <f>J51</f>
        <v>15054.27</v>
      </c>
      <c r="J51" s="61">
        <f t="shared" si="0"/>
        <v>15054.27</v>
      </c>
      <c r="K51" s="49">
        <f>L51</f>
        <v>4516.281</v>
      </c>
      <c r="L51" s="49">
        <f>I51*30%</f>
        <v>4516.281</v>
      </c>
      <c r="M51" s="46"/>
      <c r="N51" s="46"/>
      <c r="O51" s="82"/>
      <c r="P51" s="82"/>
      <c r="Q51" s="49"/>
      <c r="R51" s="46"/>
      <c r="S51" s="49">
        <f>T51</f>
        <v>19782.637000000002</v>
      </c>
      <c r="T51" s="49">
        <f>'[1]Capnuoc'!$S$30</f>
        <v>19782.637000000002</v>
      </c>
      <c r="U51" s="46"/>
    </row>
    <row r="52" spans="1:21" ht="11.25">
      <c r="A52" s="44"/>
      <c r="B52" s="78" t="s">
        <v>318</v>
      </c>
      <c r="C52" s="45"/>
      <c r="D52" s="45"/>
      <c r="E52" s="45"/>
      <c r="F52" s="45"/>
      <c r="G52" s="61"/>
      <c r="H52" s="62">
        <f>G51-H53</f>
        <v>10036.179999999993</v>
      </c>
      <c r="I52" s="61"/>
      <c r="J52" s="61"/>
      <c r="K52" s="46"/>
      <c r="L52" s="49"/>
      <c r="M52" s="46"/>
      <c r="N52" s="46"/>
      <c r="O52" s="91">
        <f>P52</f>
        <v>676.5431</v>
      </c>
      <c r="P52" s="82">
        <f>'[2]Capnuoc'!$P$30*10%</f>
        <v>676.5431</v>
      </c>
      <c r="Q52" s="46"/>
      <c r="R52" s="46"/>
      <c r="S52" s="49"/>
      <c r="T52" s="49"/>
      <c r="U52" s="46"/>
    </row>
    <row r="53" spans="1:21" ht="11.25">
      <c r="A53" s="44"/>
      <c r="B53" s="78" t="s">
        <v>319</v>
      </c>
      <c r="C53" s="45"/>
      <c r="D53" s="45"/>
      <c r="E53" s="45"/>
      <c r="F53" s="45"/>
      <c r="G53" s="61"/>
      <c r="H53" s="62">
        <f>G51*90%</f>
        <v>90325.62000000001</v>
      </c>
      <c r="I53" s="61"/>
      <c r="J53" s="61"/>
      <c r="K53" s="46"/>
      <c r="L53" s="49"/>
      <c r="M53" s="46"/>
      <c r="N53" s="46"/>
      <c r="O53" s="91">
        <f>P53</f>
        <v>6088.8879</v>
      </c>
      <c r="P53" s="82">
        <f>'[2]Capnuoc'!$P$30-P52</f>
        <v>6088.8879</v>
      </c>
      <c r="Q53" s="46">
        <f>R53</f>
        <v>1500</v>
      </c>
      <c r="R53" s="46">
        <v>1500</v>
      </c>
      <c r="S53" s="49"/>
      <c r="T53" s="49"/>
      <c r="U53" s="46"/>
    </row>
    <row r="54" spans="1:21" ht="33.75">
      <c r="A54" s="44">
        <v>12</v>
      </c>
      <c r="B54" s="48" t="s">
        <v>149</v>
      </c>
      <c r="C54" s="45" t="s">
        <v>150</v>
      </c>
      <c r="D54" s="45" t="str">
        <f>D51</f>
        <v>9000m3</v>
      </c>
      <c r="E54" s="45" t="s">
        <v>798</v>
      </c>
      <c r="F54" s="45">
        <v>472</v>
      </c>
      <c r="G54" s="61">
        <v>94725.3</v>
      </c>
      <c r="H54" s="62"/>
      <c r="I54" s="61">
        <f>J54</f>
        <v>14208.795</v>
      </c>
      <c r="J54" s="61">
        <f t="shared" si="0"/>
        <v>14208.795</v>
      </c>
      <c r="K54" s="46"/>
      <c r="L54" s="49">
        <f>I54*30%</f>
        <v>4262.6385</v>
      </c>
      <c r="M54" s="46"/>
      <c r="N54" s="46"/>
      <c r="O54" s="82"/>
      <c r="P54" s="82"/>
      <c r="Q54" s="49"/>
      <c r="R54" s="46"/>
      <c r="S54" s="49">
        <f>T54</f>
        <v>18854.129</v>
      </c>
      <c r="T54" s="49">
        <f>'[1]Capnuoc'!$S$33</f>
        <v>18854.129</v>
      </c>
      <c r="U54" s="46"/>
    </row>
    <row r="55" spans="1:21" ht="11.25">
      <c r="A55" s="44"/>
      <c r="B55" s="78" t="s">
        <v>318</v>
      </c>
      <c r="C55" s="45"/>
      <c r="D55" s="45"/>
      <c r="E55" s="45"/>
      <c r="F55" s="45"/>
      <c r="G55" s="61"/>
      <c r="H55" s="62">
        <f>G54-H56</f>
        <v>9472.529999999999</v>
      </c>
      <c r="I55" s="61"/>
      <c r="J55" s="49"/>
      <c r="K55" s="46"/>
      <c r="L55" s="46"/>
      <c r="M55" s="46"/>
      <c r="N55" s="46"/>
      <c r="O55" s="91">
        <f>P55</f>
        <v>568.6323000000001</v>
      </c>
      <c r="P55" s="82">
        <f>'[2]Capnuoc'!$P$33*10%</f>
        <v>568.6323000000001</v>
      </c>
      <c r="Q55" s="46"/>
      <c r="R55" s="46"/>
      <c r="S55" s="49"/>
      <c r="T55" s="49"/>
      <c r="U55" s="46"/>
    </row>
    <row r="56" spans="1:21" ht="11.25">
      <c r="A56" s="44"/>
      <c r="B56" s="78" t="s">
        <v>319</v>
      </c>
      <c r="C56" s="45"/>
      <c r="D56" s="45"/>
      <c r="E56" s="45"/>
      <c r="F56" s="45"/>
      <c r="G56" s="61"/>
      <c r="H56" s="62">
        <f>G54*90%</f>
        <v>85252.77</v>
      </c>
      <c r="I56" s="61"/>
      <c r="J56" s="49"/>
      <c r="K56" s="46"/>
      <c r="L56" s="46"/>
      <c r="M56" s="46"/>
      <c r="N56" s="46"/>
      <c r="O56" s="91">
        <f>P56</f>
        <v>5117.6907</v>
      </c>
      <c r="P56" s="82">
        <f>'[2]Capnuoc'!$P$33-P55</f>
        <v>5117.6907</v>
      </c>
      <c r="Q56" s="46">
        <f>R56</f>
        <v>1500</v>
      </c>
      <c r="R56" s="46">
        <v>1500</v>
      </c>
      <c r="S56" s="49"/>
      <c r="T56" s="49"/>
      <c r="U56" s="46"/>
    </row>
    <row r="57" spans="1:21" ht="21">
      <c r="A57" s="34" t="s">
        <v>151</v>
      </c>
      <c r="B57" s="64" t="s">
        <v>152</v>
      </c>
      <c r="C57" s="35"/>
      <c r="D57" s="35"/>
      <c r="E57" s="35"/>
      <c r="F57" s="35"/>
      <c r="G57" s="99">
        <f>I57</f>
        <v>1168</v>
      </c>
      <c r="H57" s="70"/>
      <c r="I57" s="80">
        <f>I58+I64</f>
        <v>1168</v>
      </c>
      <c r="J57" s="52"/>
      <c r="K57" s="70"/>
      <c r="L57" s="36"/>
      <c r="M57" s="36">
        <f>M58</f>
        <v>368</v>
      </c>
      <c r="N57" s="36"/>
      <c r="O57" s="93">
        <f>O58+O64</f>
        <v>1168</v>
      </c>
      <c r="P57" s="93"/>
      <c r="Q57" s="52">
        <f>SUM(R59:R68)</f>
        <v>1168</v>
      </c>
      <c r="R57" s="36"/>
      <c r="S57" s="90">
        <f>S58+S64</f>
        <v>1600</v>
      </c>
      <c r="T57" s="90"/>
      <c r="U57" s="36"/>
    </row>
    <row r="58" spans="1:21" ht="11.25">
      <c r="A58" s="34"/>
      <c r="B58" s="64" t="s">
        <v>107</v>
      </c>
      <c r="C58" s="35"/>
      <c r="D58" s="35"/>
      <c r="E58" s="35"/>
      <c r="F58" s="35"/>
      <c r="G58" s="40"/>
      <c r="H58" s="52"/>
      <c r="I58" s="52">
        <f>I59+I60</f>
        <v>368</v>
      </c>
      <c r="J58" s="49"/>
      <c r="K58" s="36"/>
      <c r="L58" s="36"/>
      <c r="M58" s="36">
        <f>M59+M60</f>
        <v>368</v>
      </c>
      <c r="N58" s="36"/>
      <c r="O58" s="90">
        <f>O59+O60</f>
        <v>368</v>
      </c>
      <c r="P58" s="82"/>
      <c r="Q58" s="36"/>
      <c r="R58" s="36"/>
      <c r="S58" s="36">
        <f>S61+S62+S63</f>
        <v>600</v>
      </c>
      <c r="T58" s="36"/>
      <c r="U58" s="36"/>
    </row>
    <row r="59" spans="1:21" ht="11.25">
      <c r="A59" s="44">
        <v>1</v>
      </c>
      <c r="B59" s="48" t="s">
        <v>153</v>
      </c>
      <c r="C59" s="35"/>
      <c r="D59" s="35"/>
      <c r="E59" s="35"/>
      <c r="F59" s="35"/>
      <c r="G59" s="71">
        <f>H59</f>
        <v>184</v>
      </c>
      <c r="H59" s="69">
        <v>184</v>
      </c>
      <c r="I59" s="49">
        <f>J59</f>
        <v>184</v>
      </c>
      <c r="J59" s="69">
        <f>H59</f>
        <v>184</v>
      </c>
      <c r="K59" s="46"/>
      <c r="L59" s="46"/>
      <c r="M59" s="46">
        <f>J59</f>
        <v>184</v>
      </c>
      <c r="N59" s="36"/>
      <c r="O59" s="91">
        <f>P59</f>
        <v>184</v>
      </c>
      <c r="P59" s="82">
        <f>I59</f>
        <v>184</v>
      </c>
      <c r="Q59" s="46">
        <f>R59</f>
        <v>184</v>
      </c>
      <c r="R59" s="46">
        <f>P59</f>
        <v>184</v>
      </c>
      <c r="S59" s="46"/>
      <c r="T59" s="46"/>
      <c r="U59" s="36"/>
    </row>
    <row r="60" spans="1:21" ht="11.25">
      <c r="A60" s="44">
        <v>2</v>
      </c>
      <c r="B60" s="48" t="s">
        <v>154</v>
      </c>
      <c r="C60" s="35"/>
      <c r="D60" s="35"/>
      <c r="E60" s="35"/>
      <c r="F60" s="35"/>
      <c r="G60" s="71">
        <f>H60</f>
        <v>184</v>
      </c>
      <c r="H60" s="69">
        <v>184</v>
      </c>
      <c r="I60" s="49">
        <f aca="true" t="shared" si="1" ref="I60:I68">J60</f>
        <v>184</v>
      </c>
      <c r="J60" s="69">
        <f aca="true" t="shared" si="2" ref="J60:J68">H60</f>
        <v>184</v>
      </c>
      <c r="K60" s="46"/>
      <c r="L60" s="46"/>
      <c r="M60" s="46">
        <f>J60</f>
        <v>184</v>
      </c>
      <c r="N60" s="36"/>
      <c r="O60" s="91">
        <f aca="true" t="shared" si="3" ref="O60:O68">P60</f>
        <v>184</v>
      </c>
      <c r="P60" s="82">
        <f aca="true" t="shared" si="4" ref="P60:P68">I60</f>
        <v>184</v>
      </c>
      <c r="Q60" s="46">
        <f>R60</f>
        <v>184</v>
      </c>
      <c r="R60" s="46">
        <f>P60</f>
        <v>184</v>
      </c>
      <c r="S60" s="46"/>
      <c r="T60" s="46"/>
      <c r="U60" s="36"/>
    </row>
    <row r="61" spans="1:21" ht="11.25">
      <c r="A61" s="44">
        <v>3</v>
      </c>
      <c r="B61" s="48" t="s">
        <v>220</v>
      </c>
      <c r="C61" s="35"/>
      <c r="D61" s="35"/>
      <c r="E61" s="35"/>
      <c r="F61" s="35"/>
      <c r="G61" s="71"/>
      <c r="H61" s="69"/>
      <c r="I61" s="49"/>
      <c r="J61" s="69"/>
      <c r="K61" s="46"/>
      <c r="L61" s="46"/>
      <c r="M61" s="36"/>
      <c r="N61" s="36"/>
      <c r="O61" s="91"/>
      <c r="P61" s="82"/>
      <c r="Q61" s="36"/>
      <c r="R61" s="46"/>
      <c r="S61" s="46">
        <v>200</v>
      </c>
      <c r="T61" s="46">
        <v>200</v>
      </c>
      <c r="U61" s="36"/>
    </row>
    <row r="62" spans="1:21" ht="11.25">
      <c r="A62" s="44">
        <v>4</v>
      </c>
      <c r="B62" s="48" t="s">
        <v>614</v>
      </c>
      <c r="C62" s="35"/>
      <c r="D62" s="35"/>
      <c r="E62" s="35"/>
      <c r="F62" s="35"/>
      <c r="G62" s="71"/>
      <c r="H62" s="69"/>
      <c r="I62" s="49"/>
      <c r="J62" s="69"/>
      <c r="K62" s="46"/>
      <c r="L62" s="46"/>
      <c r="M62" s="36"/>
      <c r="N62" s="36"/>
      <c r="O62" s="91"/>
      <c r="P62" s="82"/>
      <c r="Q62" s="36"/>
      <c r="R62" s="46"/>
      <c r="S62" s="46">
        <f>T62</f>
        <v>200</v>
      </c>
      <c r="T62" s="46">
        <v>200</v>
      </c>
      <c r="U62" s="36"/>
    </row>
    <row r="63" spans="1:21" ht="11.25">
      <c r="A63" s="44">
        <v>5</v>
      </c>
      <c r="B63" s="48" t="s">
        <v>658</v>
      </c>
      <c r="C63" s="35"/>
      <c r="D63" s="35"/>
      <c r="E63" s="35"/>
      <c r="F63" s="35"/>
      <c r="G63" s="71"/>
      <c r="H63" s="69"/>
      <c r="I63" s="49"/>
      <c r="J63" s="69"/>
      <c r="K63" s="46"/>
      <c r="L63" s="46"/>
      <c r="M63" s="36"/>
      <c r="N63" s="36"/>
      <c r="O63" s="91"/>
      <c r="P63" s="82"/>
      <c r="Q63" s="36"/>
      <c r="R63" s="46"/>
      <c r="S63" s="46">
        <f>T63</f>
        <v>200</v>
      </c>
      <c r="T63" s="46">
        <v>200</v>
      </c>
      <c r="U63" s="36"/>
    </row>
    <row r="64" spans="1:21" ht="11.25">
      <c r="A64" s="34"/>
      <c r="B64" s="64" t="s">
        <v>130</v>
      </c>
      <c r="C64" s="35"/>
      <c r="D64" s="35"/>
      <c r="E64" s="35"/>
      <c r="F64" s="35"/>
      <c r="G64" s="40"/>
      <c r="H64" s="70"/>
      <c r="I64" s="52">
        <f>SUM(I65:I68)</f>
        <v>800</v>
      </c>
      <c r="J64" s="69"/>
      <c r="K64" s="46"/>
      <c r="L64" s="36"/>
      <c r="M64" s="36"/>
      <c r="N64" s="36"/>
      <c r="O64" s="90">
        <f>Q64</f>
        <v>800</v>
      </c>
      <c r="P64" s="82"/>
      <c r="Q64" s="36">
        <f>Q65+Q66+Q67+Q68</f>
        <v>800</v>
      </c>
      <c r="R64" s="46"/>
      <c r="S64" s="40">
        <f>S69+S70+S71+S72</f>
        <v>1000</v>
      </c>
      <c r="T64" s="40"/>
      <c r="U64" s="36"/>
    </row>
    <row r="65" spans="1:21" ht="11.25">
      <c r="A65" s="44">
        <v>1</v>
      </c>
      <c r="B65" s="48" t="s">
        <v>171</v>
      </c>
      <c r="C65" s="45"/>
      <c r="D65" s="45"/>
      <c r="E65" s="45"/>
      <c r="F65" s="45"/>
      <c r="G65" s="53"/>
      <c r="H65" s="69">
        <v>200</v>
      </c>
      <c r="I65" s="49">
        <f t="shared" si="1"/>
        <v>200</v>
      </c>
      <c r="J65" s="69">
        <f t="shared" si="2"/>
        <v>200</v>
      </c>
      <c r="K65" s="46"/>
      <c r="L65" s="46"/>
      <c r="M65" s="46"/>
      <c r="N65" s="46"/>
      <c r="O65" s="91">
        <f t="shared" si="3"/>
        <v>200</v>
      </c>
      <c r="P65" s="82">
        <f t="shared" si="4"/>
        <v>200</v>
      </c>
      <c r="Q65" s="46">
        <f>R65</f>
        <v>200</v>
      </c>
      <c r="R65" s="46">
        <f>P65</f>
        <v>200</v>
      </c>
      <c r="S65" s="46"/>
      <c r="T65" s="46"/>
      <c r="U65" s="46"/>
    </row>
    <row r="66" spans="1:21" ht="11.25">
      <c r="A66" s="44">
        <v>2</v>
      </c>
      <c r="B66" s="48" t="s">
        <v>155</v>
      </c>
      <c r="C66" s="45"/>
      <c r="D66" s="45"/>
      <c r="E66" s="45"/>
      <c r="F66" s="45"/>
      <c r="G66" s="53"/>
      <c r="H66" s="69">
        <v>200</v>
      </c>
      <c r="I66" s="49">
        <f t="shared" si="1"/>
        <v>200</v>
      </c>
      <c r="J66" s="69">
        <f t="shared" si="2"/>
        <v>200</v>
      </c>
      <c r="K66" s="46"/>
      <c r="L66" s="46"/>
      <c r="M66" s="46"/>
      <c r="N66" s="46"/>
      <c r="O66" s="91">
        <f t="shared" si="3"/>
        <v>200</v>
      </c>
      <c r="P66" s="82">
        <f t="shared" si="4"/>
        <v>200</v>
      </c>
      <c r="Q66" s="46">
        <f>R66</f>
        <v>200</v>
      </c>
      <c r="R66" s="46">
        <f>P66</f>
        <v>200</v>
      </c>
      <c r="S66" s="46"/>
      <c r="T66" s="46"/>
      <c r="U66" s="46"/>
    </row>
    <row r="67" spans="1:21" ht="11.25">
      <c r="A67" s="44">
        <v>3</v>
      </c>
      <c r="B67" s="48" t="s">
        <v>156</v>
      </c>
      <c r="C67" s="45"/>
      <c r="D67" s="45"/>
      <c r="E67" s="45"/>
      <c r="F67" s="45"/>
      <c r="G67" s="53"/>
      <c r="H67" s="69">
        <v>200</v>
      </c>
      <c r="I67" s="49">
        <f t="shared" si="1"/>
        <v>200</v>
      </c>
      <c r="J67" s="69">
        <f t="shared" si="2"/>
        <v>200</v>
      </c>
      <c r="K67" s="46"/>
      <c r="L67" s="46"/>
      <c r="M67" s="46"/>
      <c r="N67" s="46"/>
      <c r="O67" s="91">
        <f t="shared" si="3"/>
        <v>200</v>
      </c>
      <c r="P67" s="82">
        <f t="shared" si="4"/>
        <v>200</v>
      </c>
      <c r="Q67" s="46">
        <f>R67</f>
        <v>200</v>
      </c>
      <c r="R67" s="46">
        <f>P67</f>
        <v>200</v>
      </c>
      <c r="S67" s="46"/>
      <c r="T67" s="46"/>
      <c r="U67" s="46"/>
    </row>
    <row r="68" spans="1:21" ht="11.25">
      <c r="A68" s="44">
        <v>4</v>
      </c>
      <c r="B68" s="48" t="s">
        <v>157</v>
      </c>
      <c r="C68" s="45"/>
      <c r="D68" s="45"/>
      <c r="E68" s="45"/>
      <c r="F68" s="45"/>
      <c r="G68" s="53"/>
      <c r="H68" s="69">
        <v>200</v>
      </c>
      <c r="I68" s="49">
        <f t="shared" si="1"/>
        <v>200</v>
      </c>
      <c r="J68" s="69">
        <f t="shared" si="2"/>
        <v>200</v>
      </c>
      <c r="K68" s="46"/>
      <c r="L68" s="46"/>
      <c r="M68" s="46"/>
      <c r="N68" s="46"/>
      <c r="O68" s="91">
        <f t="shared" si="3"/>
        <v>200</v>
      </c>
      <c r="P68" s="82">
        <f t="shared" si="4"/>
        <v>200</v>
      </c>
      <c r="Q68" s="46">
        <f>R68</f>
        <v>200</v>
      </c>
      <c r="R68" s="46">
        <f>P68</f>
        <v>200</v>
      </c>
      <c r="S68" s="46"/>
      <c r="T68" s="46"/>
      <c r="U68" s="46"/>
    </row>
    <row r="69" spans="1:21" ht="11.25">
      <c r="A69" s="44">
        <v>5</v>
      </c>
      <c r="B69" s="48" t="s">
        <v>573</v>
      </c>
      <c r="C69" s="45"/>
      <c r="D69" s="45"/>
      <c r="E69" s="45"/>
      <c r="F69" s="45"/>
      <c r="G69" s="53"/>
      <c r="H69" s="69"/>
      <c r="I69" s="49"/>
      <c r="J69" s="69"/>
      <c r="K69" s="46"/>
      <c r="L69" s="46"/>
      <c r="M69" s="46"/>
      <c r="N69" s="46"/>
      <c r="O69" s="91"/>
      <c r="P69" s="82"/>
      <c r="Q69" s="46"/>
      <c r="R69" s="46"/>
      <c r="S69" s="46">
        <f>T69</f>
        <v>250</v>
      </c>
      <c r="T69" s="46">
        <v>250</v>
      </c>
      <c r="U69" s="46"/>
    </row>
    <row r="70" spans="1:21" ht="11.25">
      <c r="A70" s="44">
        <v>6</v>
      </c>
      <c r="B70" s="48" t="s">
        <v>659</v>
      </c>
      <c r="C70" s="45"/>
      <c r="D70" s="45"/>
      <c r="E70" s="45"/>
      <c r="F70" s="45"/>
      <c r="G70" s="53"/>
      <c r="H70" s="69"/>
      <c r="I70" s="49"/>
      <c r="J70" s="69"/>
      <c r="K70" s="46"/>
      <c r="L70" s="46"/>
      <c r="M70" s="46"/>
      <c r="N70" s="46"/>
      <c r="O70" s="91"/>
      <c r="P70" s="82"/>
      <c r="Q70" s="46"/>
      <c r="R70" s="46"/>
      <c r="S70" s="46">
        <f>T70</f>
        <v>250</v>
      </c>
      <c r="T70" s="46">
        <v>250</v>
      </c>
      <c r="U70" s="46"/>
    </row>
    <row r="71" spans="1:21" ht="11.25">
      <c r="A71" s="44">
        <v>7</v>
      </c>
      <c r="B71" s="48" t="s">
        <v>600</v>
      </c>
      <c r="C71" s="45"/>
      <c r="D71" s="45"/>
      <c r="E71" s="45"/>
      <c r="F71" s="45"/>
      <c r="G71" s="53"/>
      <c r="H71" s="69"/>
      <c r="I71" s="49"/>
      <c r="J71" s="69"/>
      <c r="K71" s="46"/>
      <c r="L71" s="46"/>
      <c r="M71" s="46"/>
      <c r="N71" s="46"/>
      <c r="O71" s="91"/>
      <c r="P71" s="82"/>
      <c r="Q71" s="46"/>
      <c r="R71" s="46"/>
      <c r="S71" s="46">
        <f>T71</f>
        <v>250</v>
      </c>
      <c r="T71" s="46">
        <v>250</v>
      </c>
      <c r="U71" s="46"/>
    </row>
    <row r="72" spans="1:21" ht="11.25">
      <c r="A72" s="44">
        <v>8</v>
      </c>
      <c r="B72" s="48" t="s">
        <v>666</v>
      </c>
      <c r="C72" s="45"/>
      <c r="D72" s="45"/>
      <c r="E72" s="45"/>
      <c r="F72" s="45"/>
      <c r="G72" s="53"/>
      <c r="H72" s="69"/>
      <c r="I72" s="49"/>
      <c r="J72" s="69"/>
      <c r="K72" s="46"/>
      <c r="L72" s="46"/>
      <c r="M72" s="46"/>
      <c r="N72" s="46"/>
      <c r="O72" s="91"/>
      <c r="P72" s="82"/>
      <c r="Q72" s="46"/>
      <c r="R72" s="46"/>
      <c r="S72" s="46">
        <v>250</v>
      </c>
      <c r="T72" s="46">
        <v>250</v>
      </c>
      <c r="U72" s="46"/>
    </row>
    <row r="73" spans="1:25" s="37" customFormat="1" ht="11.25">
      <c r="A73" s="34" t="s">
        <v>158</v>
      </c>
      <c r="B73" s="64" t="s">
        <v>159</v>
      </c>
      <c r="C73" s="35"/>
      <c r="D73" s="35"/>
      <c r="E73" s="35"/>
      <c r="F73" s="35"/>
      <c r="G73" s="87">
        <f>SUM(H75:H82)</f>
        <v>2726.906</v>
      </c>
      <c r="H73" s="88"/>
      <c r="I73" s="65">
        <f>SUM(J75:J82)</f>
        <v>2726.906</v>
      </c>
      <c r="J73" s="89"/>
      <c r="K73" s="65"/>
      <c r="L73" s="46"/>
      <c r="M73" s="36"/>
      <c r="N73" s="36"/>
      <c r="O73" s="90">
        <f>SUM(O75:O82)</f>
        <v>2726.906</v>
      </c>
      <c r="P73" s="93"/>
      <c r="Q73" s="40">
        <f>R73</f>
        <v>1200</v>
      </c>
      <c r="R73" s="52">
        <f>SUM(R75:R82)</f>
        <v>1200</v>
      </c>
      <c r="S73" s="90">
        <f>T73</f>
        <v>5426.906</v>
      </c>
      <c r="T73" s="90">
        <f>SUM(T75:T92)</f>
        <v>5426.906</v>
      </c>
      <c r="U73" s="36"/>
      <c r="V73" s="21"/>
      <c r="W73" s="21"/>
      <c r="X73" s="21"/>
      <c r="Y73" s="21"/>
    </row>
    <row r="74" spans="1:25" s="37" customFormat="1" ht="11.25">
      <c r="A74" s="34"/>
      <c r="B74" s="64" t="s">
        <v>130</v>
      </c>
      <c r="C74" s="35"/>
      <c r="D74" s="35"/>
      <c r="E74" s="35"/>
      <c r="F74" s="35"/>
      <c r="G74" s="40"/>
      <c r="H74" s="52"/>
      <c r="I74" s="61"/>
      <c r="J74" s="49"/>
      <c r="K74" s="36"/>
      <c r="L74" s="46"/>
      <c r="M74" s="36"/>
      <c r="N74" s="36"/>
      <c r="O74" s="90"/>
      <c r="P74" s="82"/>
      <c r="Q74" s="36"/>
      <c r="R74" s="100"/>
      <c r="S74" s="36"/>
      <c r="T74" s="36"/>
      <c r="U74" s="36"/>
      <c r="V74" s="21"/>
      <c r="W74" s="21"/>
      <c r="X74" s="21"/>
      <c r="Y74" s="21"/>
    </row>
    <row r="75" spans="1:21" ht="24">
      <c r="A75" s="44">
        <v>1</v>
      </c>
      <c r="B75" s="72" t="s">
        <v>172</v>
      </c>
      <c r="C75" s="45"/>
      <c r="D75" s="45"/>
      <c r="E75" s="45"/>
      <c r="F75" s="45"/>
      <c r="G75" s="53"/>
      <c r="H75" s="68">
        <v>467.264</v>
      </c>
      <c r="I75" s="61"/>
      <c r="J75" s="68">
        <f>H75</f>
        <v>467.264</v>
      </c>
      <c r="K75" s="36"/>
      <c r="L75" s="100"/>
      <c r="M75" s="46"/>
      <c r="N75" s="46"/>
      <c r="O75" s="91">
        <f>P75</f>
        <v>467.264</v>
      </c>
      <c r="P75" s="82">
        <f>J75</f>
        <v>467.264</v>
      </c>
      <c r="Q75" s="46">
        <f>R75</f>
        <v>150</v>
      </c>
      <c r="R75" s="46">
        <v>150</v>
      </c>
      <c r="S75" s="46">
        <f>T75</f>
        <v>317.264</v>
      </c>
      <c r="T75" s="46">
        <f>P75-R75</f>
        <v>317.264</v>
      </c>
      <c r="U75" s="46"/>
    </row>
    <row r="76" spans="1:21" ht="12">
      <c r="A76" s="44">
        <v>2</v>
      </c>
      <c r="B76" s="72" t="s">
        <v>173</v>
      </c>
      <c r="C76" s="45"/>
      <c r="D76" s="45"/>
      <c r="E76" s="45"/>
      <c r="F76" s="45"/>
      <c r="G76" s="53"/>
      <c r="H76" s="68">
        <v>452.344</v>
      </c>
      <c r="I76" s="61"/>
      <c r="J76" s="68">
        <f aca="true" t="shared" si="5" ref="J76:J82">H76</f>
        <v>452.344</v>
      </c>
      <c r="K76" s="36"/>
      <c r="L76" s="100"/>
      <c r="M76" s="46"/>
      <c r="N76" s="46"/>
      <c r="O76" s="91">
        <f aca="true" t="shared" si="6" ref="O76:O82">P76</f>
        <v>452.344</v>
      </c>
      <c r="P76" s="82">
        <f aca="true" t="shared" si="7" ref="P76:P82">J76</f>
        <v>452.344</v>
      </c>
      <c r="Q76" s="46">
        <f aca="true" t="shared" si="8" ref="Q76:Q82">R76</f>
        <v>150</v>
      </c>
      <c r="R76" s="46">
        <v>150</v>
      </c>
      <c r="S76" s="46">
        <f aca="true" t="shared" si="9" ref="S76:S92">T76</f>
        <v>302.344</v>
      </c>
      <c r="T76" s="46">
        <f aca="true" t="shared" si="10" ref="T76:T82">P76-R76</f>
        <v>302.344</v>
      </c>
      <c r="U76" s="46"/>
    </row>
    <row r="77" spans="1:21" ht="12">
      <c r="A77" s="44">
        <v>3</v>
      </c>
      <c r="B77" s="66" t="s">
        <v>174</v>
      </c>
      <c r="C77" s="45"/>
      <c r="D77" s="45"/>
      <c r="E77" s="45"/>
      <c r="F77" s="45"/>
      <c r="G77" s="53"/>
      <c r="H77" s="68">
        <v>325.831</v>
      </c>
      <c r="I77" s="61"/>
      <c r="J77" s="68">
        <f t="shared" si="5"/>
        <v>325.831</v>
      </c>
      <c r="K77" s="36"/>
      <c r="L77" s="100"/>
      <c r="M77" s="46"/>
      <c r="N77" s="46"/>
      <c r="O77" s="91">
        <f t="shared" si="6"/>
        <v>325.831</v>
      </c>
      <c r="P77" s="82">
        <f t="shared" si="7"/>
        <v>325.831</v>
      </c>
      <c r="Q77" s="46">
        <f t="shared" si="8"/>
        <v>150</v>
      </c>
      <c r="R77" s="46">
        <v>150</v>
      </c>
      <c r="S77" s="46">
        <f t="shared" si="9"/>
        <v>175.83100000000002</v>
      </c>
      <c r="T77" s="46">
        <f t="shared" si="10"/>
        <v>175.83100000000002</v>
      </c>
      <c r="U77" s="46"/>
    </row>
    <row r="78" spans="1:21" ht="12">
      <c r="A78" s="44">
        <v>4</v>
      </c>
      <c r="B78" s="66" t="s">
        <v>175</v>
      </c>
      <c r="C78" s="45"/>
      <c r="D78" s="45"/>
      <c r="E78" s="45"/>
      <c r="F78" s="45"/>
      <c r="G78" s="53"/>
      <c r="H78" s="68">
        <v>333.397</v>
      </c>
      <c r="I78" s="61"/>
      <c r="J78" s="68">
        <f t="shared" si="5"/>
        <v>333.397</v>
      </c>
      <c r="K78" s="36"/>
      <c r="L78" s="100"/>
      <c r="M78" s="46"/>
      <c r="N78" s="46"/>
      <c r="O78" s="91">
        <f t="shared" si="6"/>
        <v>333.397</v>
      </c>
      <c r="P78" s="82">
        <f t="shared" si="7"/>
        <v>333.397</v>
      </c>
      <c r="Q78" s="46">
        <f t="shared" si="8"/>
        <v>150</v>
      </c>
      <c r="R78" s="46">
        <v>150</v>
      </c>
      <c r="S78" s="46">
        <f t="shared" si="9"/>
        <v>183.397</v>
      </c>
      <c r="T78" s="46">
        <f t="shared" si="10"/>
        <v>183.397</v>
      </c>
      <c r="U78" s="46"/>
    </row>
    <row r="79" spans="1:21" ht="12">
      <c r="A79" s="44">
        <v>5</v>
      </c>
      <c r="B79" s="66" t="s">
        <v>176</v>
      </c>
      <c r="C79" s="67"/>
      <c r="D79" s="67"/>
      <c r="E79" s="67"/>
      <c r="F79" s="67"/>
      <c r="G79" s="67"/>
      <c r="H79" s="68">
        <v>307.796</v>
      </c>
      <c r="I79" s="61"/>
      <c r="J79" s="68">
        <f t="shared" si="5"/>
        <v>307.796</v>
      </c>
      <c r="K79" s="36"/>
      <c r="L79" s="100"/>
      <c r="M79" s="67"/>
      <c r="N79" s="67"/>
      <c r="O79" s="91">
        <f t="shared" si="6"/>
        <v>307.796</v>
      </c>
      <c r="P79" s="82">
        <f t="shared" si="7"/>
        <v>307.796</v>
      </c>
      <c r="Q79" s="46">
        <f t="shared" si="8"/>
        <v>150</v>
      </c>
      <c r="R79" s="46">
        <v>150</v>
      </c>
      <c r="S79" s="46">
        <f t="shared" si="9"/>
        <v>157.796</v>
      </c>
      <c r="T79" s="46">
        <f t="shared" si="10"/>
        <v>157.796</v>
      </c>
      <c r="U79" s="46"/>
    </row>
    <row r="80" spans="1:25" s="56" customFormat="1" ht="12">
      <c r="A80" s="44">
        <v>6</v>
      </c>
      <c r="B80" s="66" t="s">
        <v>177</v>
      </c>
      <c r="C80" s="48"/>
      <c r="D80" s="48"/>
      <c r="E80" s="48"/>
      <c r="F80" s="48"/>
      <c r="G80" s="48"/>
      <c r="H80" s="68">
        <v>241.645</v>
      </c>
      <c r="I80" s="48"/>
      <c r="J80" s="68">
        <f t="shared" si="5"/>
        <v>241.645</v>
      </c>
      <c r="K80" s="36"/>
      <c r="L80" s="100"/>
      <c r="M80" s="48"/>
      <c r="N80" s="48"/>
      <c r="O80" s="91">
        <f t="shared" si="6"/>
        <v>241.645</v>
      </c>
      <c r="P80" s="82">
        <f t="shared" si="7"/>
        <v>241.645</v>
      </c>
      <c r="Q80" s="46">
        <f t="shared" si="8"/>
        <v>150</v>
      </c>
      <c r="R80" s="46">
        <v>150</v>
      </c>
      <c r="S80" s="46">
        <f t="shared" si="9"/>
        <v>91.64500000000001</v>
      </c>
      <c r="T80" s="46">
        <f t="shared" si="10"/>
        <v>91.64500000000001</v>
      </c>
      <c r="U80" s="48"/>
      <c r="V80" s="55"/>
      <c r="W80" s="55"/>
      <c r="X80" s="55"/>
      <c r="Y80" s="55"/>
    </row>
    <row r="81" spans="1:25" s="56" customFormat="1" ht="12">
      <c r="A81" s="44">
        <v>7</v>
      </c>
      <c r="B81" s="66" t="s">
        <v>178</v>
      </c>
      <c r="C81" s="48"/>
      <c r="D81" s="48"/>
      <c r="E81" s="48"/>
      <c r="F81" s="48"/>
      <c r="G81" s="48"/>
      <c r="H81" s="68">
        <v>246.404</v>
      </c>
      <c r="I81" s="48"/>
      <c r="J81" s="68">
        <f t="shared" si="5"/>
        <v>246.404</v>
      </c>
      <c r="K81" s="36"/>
      <c r="L81" s="100"/>
      <c r="M81" s="48"/>
      <c r="N81" s="48"/>
      <c r="O81" s="91">
        <f t="shared" si="6"/>
        <v>246.404</v>
      </c>
      <c r="P81" s="82">
        <f t="shared" si="7"/>
        <v>246.404</v>
      </c>
      <c r="Q81" s="46">
        <f t="shared" si="8"/>
        <v>150</v>
      </c>
      <c r="R81" s="46">
        <v>150</v>
      </c>
      <c r="S81" s="46">
        <f t="shared" si="9"/>
        <v>96.404</v>
      </c>
      <c r="T81" s="46">
        <f t="shared" si="10"/>
        <v>96.404</v>
      </c>
      <c r="U81" s="48"/>
      <c r="V81" s="55"/>
      <c r="W81" s="55"/>
      <c r="X81" s="55"/>
      <c r="Y81" s="55"/>
    </row>
    <row r="82" spans="1:21" ht="12">
      <c r="A82" s="44">
        <v>8</v>
      </c>
      <c r="B82" s="66" t="s">
        <v>179</v>
      </c>
      <c r="C82" s="48"/>
      <c r="D82" s="48"/>
      <c r="E82" s="48"/>
      <c r="F82" s="48"/>
      <c r="G82" s="48"/>
      <c r="H82" s="68">
        <v>352.225</v>
      </c>
      <c r="I82" s="48"/>
      <c r="J82" s="68">
        <f t="shared" si="5"/>
        <v>352.225</v>
      </c>
      <c r="K82" s="36"/>
      <c r="L82" s="100"/>
      <c r="M82" s="48"/>
      <c r="N82" s="48"/>
      <c r="O82" s="91">
        <f t="shared" si="6"/>
        <v>352.225</v>
      </c>
      <c r="P82" s="82">
        <f t="shared" si="7"/>
        <v>352.225</v>
      </c>
      <c r="Q82" s="46">
        <f t="shared" si="8"/>
        <v>150</v>
      </c>
      <c r="R82" s="46">
        <v>150</v>
      </c>
      <c r="S82" s="46">
        <f t="shared" si="9"/>
        <v>202.22500000000002</v>
      </c>
      <c r="T82" s="46">
        <f t="shared" si="10"/>
        <v>202.22500000000002</v>
      </c>
      <c r="U82" s="48"/>
    </row>
    <row r="83" spans="1:21" ht="11.25">
      <c r="A83" s="44">
        <v>9</v>
      </c>
      <c r="B83" s="48" t="s">
        <v>821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94"/>
      <c r="P83" s="94"/>
      <c r="Q83" s="48"/>
      <c r="R83" s="48"/>
      <c r="S83" s="46">
        <f>T83</f>
        <v>600</v>
      </c>
      <c r="T83" s="48">
        <v>600</v>
      </c>
      <c r="U83" s="48"/>
    </row>
    <row r="84" spans="1:21" ht="11.25">
      <c r="A84" s="44">
        <v>10</v>
      </c>
      <c r="B84" s="48" t="s">
        <v>822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94"/>
      <c r="P84" s="94"/>
      <c r="Q84" s="48"/>
      <c r="R84" s="48"/>
      <c r="S84" s="46">
        <f>T84</f>
        <v>300</v>
      </c>
      <c r="T84" s="48">
        <v>300</v>
      </c>
      <c r="U84" s="48"/>
    </row>
    <row r="85" spans="1:21" ht="11.25">
      <c r="A85" s="44">
        <v>11</v>
      </c>
      <c r="B85" s="48" t="s">
        <v>826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94"/>
      <c r="P85" s="94"/>
      <c r="Q85" s="48"/>
      <c r="R85" s="48"/>
      <c r="S85" s="46">
        <f t="shared" si="9"/>
        <v>300</v>
      </c>
      <c r="T85" s="48">
        <v>300</v>
      </c>
      <c r="U85" s="48"/>
    </row>
    <row r="86" spans="1:21" ht="11.25">
      <c r="A86" s="44">
        <v>12</v>
      </c>
      <c r="B86" s="48" t="s">
        <v>824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94"/>
      <c r="P86" s="94"/>
      <c r="Q86" s="48"/>
      <c r="R86" s="48"/>
      <c r="S86" s="46">
        <f t="shared" si="9"/>
        <v>300</v>
      </c>
      <c r="T86" s="48">
        <v>300</v>
      </c>
      <c r="U86" s="48"/>
    </row>
    <row r="87" spans="1:21" ht="11.25">
      <c r="A87" s="44">
        <v>13</v>
      </c>
      <c r="B87" s="48" t="s">
        <v>827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94"/>
      <c r="P87" s="94"/>
      <c r="Q87" s="48"/>
      <c r="R87" s="48"/>
      <c r="S87" s="46">
        <f t="shared" si="9"/>
        <v>600</v>
      </c>
      <c r="T87" s="48">
        <v>600</v>
      </c>
      <c r="U87" s="48"/>
    </row>
    <row r="88" spans="1:21" ht="11.25">
      <c r="A88" s="44">
        <v>14</v>
      </c>
      <c r="B88" s="48" t="s">
        <v>828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94"/>
      <c r="P88" s="94"/>
      <c r="Q88" s="48"/>
      <c r="R88" s="48"/>
      <c r="S88" s="46">
        <f t="shared" si="9"/>
        <v>300</v>
      </c>
      <c r="T88" s="48">
        <v>300</v>
      </c>
      <c r="U88" s="48"/>
    </row>
    <row r="89" spans="1:21" ht="11.25">
      <c r="A89" s="44">
        <v>15</v>
      </c>
      <c r="B89" s="48" t="s">
        <v>829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94"/>
      <c r="P89" s="94"/>
      <c r="Q89" s="48"/>
      <c r="R89" s="48"/>
      <c r="S89" s="46">
        <f>T89</f>
        <v>300</v>
      </c>
      <c r="T89" s="48">
        <v>300</v>
      </c>
      <c r="U89" s="48"/>
    </row>
    <row r="90" spans="1:21" ht="11.25">
      <c r="A90" s="44">
        <v>16</v>
      </c>
      <c r="B90" s="48" t="s">
        <v>820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94"/>
      <c r="P90" s="94"/>
      <c r="Q90" s="48"/>
      <c r="R90" s="48"/>
      <c r="S90" s="46">
        <f t="shared" si="9"/>
        <v>300</v>
      </c>
      <c r="T90" s="48">
        <v>300</v>
      </c>
      <c r="U90" s="48"/>
    </row>
    <row r="91" spans="1:21" ht="11.25">
      <c r="A91" s="44">
        <v>17</v>
      </c>
      <c r="B91" s="48" t="s">
        <v>823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94"/>
      <c r="P91" s="94"/>
      <c r="Q91" s="48"/>
      <c r="R91" s="48"/>
      <c r="S91" s="46">
        <f t="shared" si="9"/>
        <v>600</v>
      </c>
      <c r="T91" s="48">
        <v>600</v>
      </c>
      <c r="U91" s="48"/>
    </row>
    <row r="92" spans="1:21" ht="11.25">
      <c r="A92" s="44">
        <v>18</v>
      </c>
      <c r="B92" s="48" t="s">
        <v>825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94"/>
      <c r="P92" s="94"/>
      <c r="Q92" s="48"/>
      <c r="R92" s="48"/>
      <c r="S92" s="46">
        <f t="shared" si="9"/>
        <v>300</v>
      </c>
      <c r="T92" s="48">
        <v>300</v>
      </c>
      <c r="U92" s="48"/>
    </row>
    <row r="93" spans="1:25" s="37" customFormat="1" ht="11.25">
      <c r="A93" s="34" t="s">
        <v>808</v>
      </c>
      <c r="B93" s="64" t="s">
        <v>807</v>
      </c>
      <c r="C93" s="35"/>
      <c r="D93" s="35"/>
      <c r="E93" s="35"/>
      <c r="F93" s="35"/>
      <c r="G93" s="87"/>
      <c r="H93" s="88"/>
      <c r="I93" s="65"/>
      <c r="J93" s="89"/>
      <c r="K93" s="65"/>
      <c r="L93" s="46"/>
      <c r="M93" s="36"/>
      <c r="N93" s="36"/>
      <c r="O93" s="90"/>
      <c r="P93" s="93"/>
      <c r="Q93" s="40">
        <f>R93</f>
        <v>3500</v>
      </c>
      <c r="R93" s="52">
        <f>R95</f>
        <v>3500</v>
      </c>
      <c r="S93" s="90">
        <f>T93</f>
        <v>4264</v>
      </c>
      <c r="T93" s="90">
        <f>T95</f>
        <v>4264</v>
      </c>
      <c r="U93" s="36"/>
      <c r="V93" s="21"/>
      <c r="W93" s="21"/>
      <c r="X93" s="21"/>
      <c r="Y93" s="21"/>
    </row>
    <row r="94" spans="1:25" ht="11.25">
      <c r="A94" s="393">
        <v>1</v>
      </c>
      <c r="B94" s="394" t="s">
        <v>206</v>
      </c>
      <c r="C94" s="395"/>
      <c r="D94" s="395"/>
      <c r="E94" s="395"/>
      <c r="F94" s="395"/>
      <c r="G94" s="396"/>
      <c r="H94" s="397"/>
      <c r="I94" s="398"/>
      <c r="J94" s="399"/>
      <c r="K94" s="398"/>
      <c r="L94" s="392"/>
      <c r="M94" s="392"/>
      <c r="N94" s="392"/>
      <c r="O94" s="400"/>
      <c r="P94" s="401"/>
      <c r="Q94" s="402"/>
      <c r="R94" s="403"/>
      <c r="S94" s="400"/>
      <c r="T94" s="400"/>
      <c r="U94" s="392"/>
      <c r="V94" s="404"/>
      <c r="W94" s="404"/>
      <c r="X94" s="404"/>
      <c r="Y94" s="404"/>
    </row>
    <row r="95" spans="1:25" s="37" customFormat="1" ht="11.25">
      <c r="A95" s="383"/>
      <c r="B95" s="405" t="s">
        <v>130</v>
      </c>
      <c r="C95" s="384"/>
      <c r="D95" s="384"/>
      <c r="E95" s="384"/>
      <c r="F95" s="384"/>
      <c r="G95" s="385"/>
      <c r="H95" s="386"/>
      <c r="I95" s="387"/>
      <c r="J95" s="388"/>
      <c r="K95" s="389"/>
      <c r="L95" s="86"/>
      <c r="M95" s="389"/>
      <c r="N95" s="389"/>
      <c r="O95" s="390"/>
      <c r="P95" s="391"/>
      <c r="Q95" s="406">
        <f>R95</f>
        <v>3500</v>
      </c>
      <c r="R95" s="406">
        <f>2778+722</f>
        <v>3500</v>
      </c>
      <c r="S95" s="406">
        <f>T95</f>
        <v>4264</v>
      </c>
      <c r="T95" s="406">
        <v>4264</v>
      </c>
      <c r="U95" s="389"/>
      <c r="V95" s="21"/>
      <c r="W95" s="21"/>
      <c r="X95" s="21"/>
      <c r="Y95" s="21"/>
    </row>
    <row r="96" spans="3:21" ht="18" customHeight="1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95"/>
      <c r="P96" s="95"/>
      <c r="Q96" s="58"/>
      <c r="R96" s="58"/>
      <c r="S96" s="58"/>
      <c r="T96" s="58"/>
      <c r="U96" s="58"/>
    </row>
    <row r="97" spans="3:21" ht="18" customHeight="1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95"/>
      <c r="P97" s="95"/>
      <c r="Q97" s="58"/>
      <c r="R97" s="58"/>
      <c r="S97" s="58"/>
      <c r="T97" s="58"/>
      <c r="U97" s="58"/>
    </row>
    <row r="98" spans="3:21" ht="18" customHeight="1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95"/>
      <c r="P98" s="95"/>
      <c r="Q98" s="58"/>
      <c r="R98" s="58"/>
      <c r="S98" s="58"/>
      <c r="T98" s="58"/>
      <c r="U98" s="58"/>
    </row>
    <row r="99" spans="3:21" ht="18" customHeight="1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95"/>
      <c r="P99" s="95"/>
      <c r="Q99" s="58"/>
      <c r="R99" s="58"/>
      <c r="S99" s="58"/>
      <c r="T99" s="58"/>
      <c r="U99" s="58"/>
    </row>
    <row r="100" spans="3:21" ht="18" customHeight="1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95"/>
      <c r="P100" s="95"/>
      <c r="Q100" s="58"/>
      <c r="R100" s="58"/>
      <c r="S100" s="58"/>
      <c r="T100" s="58"/>
      <c r="U100" s="58"/>
    </row>
    <row r="101" spans="3:21" ht="18" customHeight="1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95"/>
      <c r="P101" s="95"/>
      <c r="Q101" s="58"/>
      <c r="R101" s="58"/>
      <c r="S101" s="58"/>
      <c r="T101" s="58"/>
      <c r="U101" s="58"/>
    </row>
    <row r="102" spans="3:21" ht="18" customHeight="1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95"/>
      <c r="P102" s="95"/>
      <c r="Q102" s="58"/>
      <c r="R102" s="58"/>
      <c r="S102" s="58"/>
      <c r="T102" s="58"/>
      <c r="U102" s="58"/>
    </row>
    <row r="103" spans="3:21" ht="18" customHeight="1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95"/>
      <c r="P103" s="95"/>
      <c r="Q103" s="58"/>
      <c r="R103" s="58"/>
      <c r="S103" s="58"/>
      <c r="T103" s="58"/>
      <c r="U103" s="58"/>
    </row>
    <row r="104" spans="3:21" ht="18" customHeight="1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95"/>
      <c r="P104" s="95"/>
      <c r="Q104" s="58"/>
      <c r="R104" s="58"/>
      <c r="S104" s="58"/>
      <c r="T104" s="58"/>
      <c r="U104" s="58"/>
    </row>
    <row r="105" spans="3:21" ht="18" customHeight="1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95"/>
      <c r="P105" s="95"/>
      <c r="Q105" s="58"/>
      <c r="R105" s="58"/>
      <c r="S105" s="58"/>
      <c r="T105" s="58"/>
      <c r="U105" s="58"/>
    </row>
    <row r="106" spans="3:21" ht="18" customHeight="1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95"/>
      <c r="P106" s="95"/>
      <c r="Q106" s="58"/>
      <c r="R106" s="58"/>
      <c r="S106" s="58"/>
      <c r="T106" s="58"/>
      <c r="U106" s="58"/>
    </row>
    <row r="107" spans="3:21" ht="18" customHeight="1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95"/>
      <c r="P107" s="95"/>
      <c r="Q107" s="58"/>
      <c r="R107" s="58"/>
      <c r="S107" s="58"/>
      <c r="T107" s="58"/>
      <c r="U107" s="58"/>
    </row>
  </sheetData>
  <sheetProtection/>
  <mergeCells count="38">
    <mergeCell ref="F3:H3"/>
    <mergeCell ref="I3:J3"/>
    <mergeCell ref="K3:L3"/>
    <mergeCell ref="P4:P6"/>
    <mergeCell ref="N4:N6"/>
    <mergeCell ref="O4:O6"/>
    <mergeCell ref="H5:H6"/>
    <mergeCell ref="F4:F6"/>
    <mergeCell ref="M3:N3"/>
    <mergeCell ref="O3:P3"/>
    <mergeCell ref="I4:I6"/>
    <mergeCell ref="G5:G6"/>
    <mergeCell ref="V5:Y5"/>
    <mergeCell ref="K4:K6"/>
    <mergeCell ref="Q4:Q6"/>
    <mergeCell ref="L4:L6"/>
    <mergeCell ref="M4:M6"/>
    <mergeCell ref="J4:J6"/>
    <mergeCell ref="R4:R6"/>
    <mergeCell ref="S4:S6"/>
    <mergeCell ref="A1:U1"/>
    <mergeCell ref="A2:U2"/>
    <mergeCell ref="A3:A6"/>
    <mergeCell ref="B3:B6"/>
    <mergeCell ref="C3:C6"/>
    <mergeCell ref="D3:D6"/>
    <mergeCell ref="E3:E6"/>
    <mergeCell ref="G4:H4"/>
    <mergeCell ref="Q3:R3"/>
    <mergeCell ref="S3:T3"/>
    <mergeCell ref="T4:T6"/>
    <mergeCell ref="X12:Y12"/>
    <mergeCell ref="X15:Y15"/>
    <mergeCell ref="U3:U6"/>
    <mergeCell ref="X6:X7"/>
    <mergeCell ref="W6:W7"/>
    <mergeCell ref="V6:V7"/>
    <mergeCell ref="Y6:Y7"/>
  </mergeCells>
  <printOptions/>
  <pageMargins left="0.22" right="0.2" top="0.51" bottom="0.23" header="0.5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95"/>
  <sheetViews>
    <sheetView workbookViewId="0" topLeftCell="A1">
      <pane ySplit="8" topLeftCell="BM9" activePane="bottomLeft" state="frozen"/>
      <selection pane="topLeft" activeCell="A1" sqref="A1"/>
      <selection pane="bottomLeft" activeCell="A3" sqref="A3:W3"/>
    </sheetView>
  </sheetViews>
  <sheetFormatPr defaultColWidth="9.140625" defaultRowHeight="18" customHeight="1"/>
  <cols>
    <col min="1" max="1" width="3.7109375" style="57" customWidth="1"/>
    <col min="2" max="2" width="18.57421875" style="77" customWidth="1"/>
    <col min="3" max="3" width="6.421875" style="59" customWidth="1"/>
    <col min="4" max="4" width="5.8515625" style="59" customWidth="1"/>
    <col min="5" max="5" width="6.7109375" style="59" customWidth="1"/>
    <col min="6" max="6" width="5.00390625" style="59" customWidth="1"/>
    <col min="7" max="7" width="5.140625" style="60" customWidth="1"/>
    <col min="8" max="8" width="6.28125" style="60" customWidth="1"/>
    <col min="9" max="9" width="5.7109375" style="60" customWidth="1"/>
    <col min="10" max="10" width="6.8515625" style="60" customWidth="1"/>
    <col min="11" max="11" width="5.00390625" style="60" customWidth="1"/>
    <col min="12" max="12" width="5.7109375" style="21" customWidth="1"/>
    <col min="13" max="13" width="6.00390625" style="21" customWidth="1"/>
    <col min="14" max="15" width="5.7109375" style="21" customWidth="1"/>
    <col min="16" max="16" width="5.7109375" style="22" customWidth="1"/>
    <col min="17" max="17" width="6.140625" style="22" customWidth="1"/>
    <col min="18" max="18" width="6.28125" style="22" customWidth="1"/>
    <col min="19" max="19" width="5.7109375" style="22" customWidth="1"/>
    <col min="20" max="20" width="6.57421875" style="22" customWidth="1"/>
    <col min="21" max="21" width="5.00390625" style="22" customWidth="1"/>
    <col min="22" max="22" width="5.57421875" style="22" customWidth="1"/>
    <col min="23" max="23" width="7.8515625" style="59" customWidth="1"/>
    <col min="24" max="16384" width="9.140625" style="22" customWidth="1"/>
  </cols>
  <sheetData>
    <row r="1" spans="1:23" ht="15.75">
      <c r="A1" s="593" t="s">
        <v>314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</row>
    <row r="2" spans="1:23" ht="15.75">
      <c r="A2" s="593" t="s">
        <v>315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</row>
    <row r="3" spans="1:23" ht="15" customHeight="1">
      <c r="A3" s="589" t="s">
        <v>850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</row>
    <row r="4" spans="1:12" ht="13.5" customHeight="1">
      <c r="A4" s="102"/>
      <c r="B4" s="76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3" ht="24" customHeight="1">
      <c r="A5" s="587" t="s">
        <v>186</v>
      </c>
      <c r="B5" s="588" t="s">
        <v>187</v>
      </c>
      <c r="C5" s="588" t="s">
        <v>160</v>
      </c>
      <c r="D5" s="588"/>
      <c r="E5" s="588"/>
      <c r="F5" s="588"/>
      <c r="G5" s="588"/>
      <c r="H5" s="588" t="s">
        <v>188</v>
      </c>
      <c r="I5" s="588"/>
      <c r="J5" s="588"/>
      <c r="K5" s="588"/>
      <c r="L5" s="588"/>
      <c r="M5" s="588" t="s">
        <v>223</v>
      </c>
      <c r="N5" s="588"/>
      <c r="O5" s="588"/>
      <c r="P5" s="588"/>
      <c r="Q5" s="588"/>
      <c r="R5" s="588" t="s">
        <v>165</v>
      </c>
      <c r="S5" s="588"/>
      <c r="T5" s="588"/>
      <c r="U5" s="588"/>
      <c r="V5" s="588"/>
      <c r="W5" s="588" t="s">
        <v>224</v>
      </c>
    </row>
    <row r="6" spans="1:23" ht="18" customHeight="1">
      <c r="A6" s="587"/>
      <c r="B6" s="588"/>
      <c r="C6" s="587" t="s">
        <v>100</v>
      </c>
      <c r="D6" s="587" t="s">
        <v>189</v>
      </c>
      <c r="E6" s="587"/>
      <c r="F6" s="587"/>
      <c r="G6" s="587"/>
      <c r="H6" s="587" t="s">
        <v>100</v>
      </c>
      <c r="I6" s="587" t="s">
        <v>189</v>
      </c>
      <c r="J6" s="587"/>
      <c r="K6" s="587"/>
      <c r="L6" s="587"/>
      <c r="M6" s="587" t="s">
        <v>100</v>
      </c>
      <c r="N6" s="587" t="s">
        <v>189</v>
      </c>
      <c r="O6" s="587"/>
      <c r="P6" s="587"/>
      <c r="Q6" s="587"/>
      <c r="R6" s="587" t="s">
        <v>100</v>
      </c>
      <c r="S6" s="587" t="s">
        <v>189</v>
      </c>
      <c r="T6" s="587"/>
      <c r="U6" s="587"/>
      <c r="V6" s="587"/>
      <c r="W6" s="588"/>
    </row>
    <row r="7" spans="1:23" ht="18" customHeight="1">
      <c r="A7" s="587"/>
      <c r="B7" s="588"/>
      <c r="C7" s="587"/>
      <c r="D7" s="587" t="s">
        <v>190</v>
      </c>
      <c r="E7" s="587"/>
      <c r="F7" s="587" t="s">
        <v>191</v>
      </c>
      <c r="G7" s="587"/>
      <c r="H7" s="587"/>
      <c r="I7" s="587" t="s">
        <v>190</v>
      </c>
      <c r="J7" s="587"/>
      <c r="K7" s="587" t="s">
        <v>191</v>
      </c>
      <c r="L7" s="587"/>
      <c r="M7" s="587"/>
      <c r="N7" s="587" t="s">
        <v>190</v>
      </c>
      <c r="O7" s="587"/>
      <c r="P7" s="587" t="s">
        <v>191</v>
      </c>
      <c r="Q7" s="587"/>
      <c r="R7" s="587"/>
      <c r="S7" s="587" t="s">
        <v>190</v>
      </c>
      <c r="T7" s="587"/>
      <c r="U7" s="587" t="s">
        <v>191</v>
      </c>
      <c r="V7" s="587"/>
      <c r="W7" s="588"/>
    </row>
    <row r="8" spans="1:23" ht="31.5">
      <c r="A8" s="587"/>
      <c r="B8" s="588"/>
      <c r="C8" s="587"/>
      <c r="D8" s="407" t="s">
        <v>192</v>
      </c>
      <c r="E8" s="407" t="s">
        <v>196</v>
      </c>
      <c r="F8" s="407" t="s">
        <v>192</v>
      </c>
      <c r="G8" s="407" t="s">
        <v>193</v>
      </c>
      <c r="H8" s="587"/>
      <c r="I8" s="407" t="s">
        <v>192</v>
      </c>
      <c r="J8" s="407" t="s">
        <v>193</v>
      </c>
      <c r="K8" s="407" t="s">
        <v>192</v>
      </c>
      <c r="L8" s="407" t="s">
        <v>193</v>
      </c>
      <c r="M8" s="587"/>
      <c r="N8" s="407" t="s">
        <v>192</v>
      </c>
      <c r="O8" s="456" t="s">
        <v>193</v>
      </c>
      <c r="P8" s="407" t="s">
        <v>192</v>
      </c>
      <c r="Q8" s="407" t="s">
        <v>193</v>
      </c>
      <c r="R8" s="587"/>
      <c r="S8" s="407" t="s">
        <v>192</v>
      </c>
      <c r="T8" s="457" t="s">
        <v>193</v>
      </c>
      <c r="U8" s="407" t="s">
        <v>192</v>
      </c>
      <c r="V8" s="407" t="s">
        <v>193</v>
      </c>
      <c r="W8" s="588"/>
    </row>
    <row r="9" spans="1:23" ht="18" customHeight="1">
      <c r="A9" s="458">
        <v>1</v>
      </c>
      <c r="B9" s="459">
        <v>2</v>
      </c>
      <c r="C9" s="458">
        <v>3</v>
      </c>
      <c r="D9" s="458">
        <v>4</v>
      </c>
      <c r="E9" s="458">
        <v>5</v>
      </c>
      <c r="F9" s="458">
        <v>6</v>
      </c>
      <c r="G9" s="458">
        <v>7</v>
      </c>
      <c r="H9" s="458">
        <v>8</v>
      </c>
      <c r="I9" s="458">
        <v>9</v>
      </c>
      <c r="J9" s="458">
        <v>10</v>
      </c>
      <c r="K9" s="458">
        <v>11</v>
      </c>
      <c r="L9" s="458">
        <v>12</v>
      </c>
      <c r="M9" s="458">
        <v>13</v>
      </c>
      <c r="N9" s="458">
        <v>14</v>
      </c>
      <c r="O9" s="460">
        <v>15</v>
      </c>
      <c r="P9" s="458">
        <v>16</v>
      </c>
      <c r="Q9" s="458">
        <v>17</v>
      </c>
      <c r="R9" s="458">
        <v>18</v>
      </c>
      <c r="S9" s="458">
        <v>19</v>
      </c>
      <c r="T9" s="461">
        <v>20</v>
      </c>
      <c r="U9" s="458">
        <v>21</v>
      </c>
      <c r="V9" s="458">
        <v>22</v>
      </c>
      <c r="W9" s="462">
        <v>23</v>
      </c>
    </row>
    <row r="10" spans="1:24" ht="11.25">
      <c r="A10" s="463"/>
      <c r="B10" s="464" t="s">
        <v>100</v>
      </c>
      <c r="C10" s="465">
        <f>D10+E10+F10+G10</f>
        <v>173808.166</v>
      </c>
      <c r="D10" s="465">
        <f>D11+D49+D70</f>
        <v>45285.75</v>
      </c>
      <c r="E10" s="465">
        <f>E11+E49+E70</f>
        <v>123876.416</v>
      </c>
      <c r="F10" s="465"/>
      <c r="G10" s="465">
        <f>G11+G49+G70</f>
        <v>4646</v>
      </c>
      <c r="H10" s="465">
        <f>L10+K10+J10+I10</f>
        <v>126821.304</v>
      </c>
      <c r="I10" s="465">
        <f>I11+I52+I70</f>
        <v>44748</v>
      </c>
      <c r="J10" s="465">
        <f>J11+J49+J70</f>
        <v>79433.304</v>
      </c>
      <c r="K10" s="465">
        <f>K11+K52+K70</f>
        <v>640</v>
      </c>
      <c r="L10" s="465">
        <f>L11+L49+L70</f>
        <v>2000</v>
      </c>
      <c r="M10" s="465">
        <f>N10+O10+P10+Q10</f>
        <v>49927.692</v>
      </c>
      <c r="N10" s="465">
        <f>N11+N52+N70</f>
        <v>12752</v>
      </c>
      <c r="O10" s="465">
        <f>O11+O52+O70</f>
        <v>34535.692</v>
      </c>
      <c r="P10" s="465">
        <f>P11+P52+P70</f>
        <v>640</v>
      </c>
      <c r="Q10" s="465">
        <f>Q11+Q49+Q70</f>
        <v>2000</v>
      </c>
      <c r="R10" s="465">
        <f>T10+U10+V10+S10</f>
        <v>224371.41749999998</v>
      </c>
      <c r="S10" s="465">
        <f>S11+S52+S70</f>
        <v>44487.0214</v>
      </c>
      <c r="T10" s="465">
        <f>T11+T52+T70</f>
        <v>171545.89609999998</v>
      </c>
      <c r="U10" s="465">
        <f>K10-P10+U11+U70+U49</f>
        <v>400</v>
      </c>
      <c r="V10" s="465">
        <f>(L10-Q10)+V11+V49+V70</f>
        <v>7938.5</v>
      </c>
      <c r="W10" s="466" t="s">
        <v>225</v>
      </c>
      <c r="X10" s="22">
        <f>T10+S10</f>
        <v>216032.91749999998</v>
      </c>
    </row>
    <row r="11" spans="1:23" s="81" customFormat="1" ht="11.25">
      <c r="A11" s="467" t="s">
        <v>41</v>
      </c>
      <c r="B11" s="468" t="s">
        <v>194</v>
      </c>
      <c r="C11" s="469"/>
      <c r="D11" s="469">
        <f>SUM(D13:D20)</f>
        <v>45285.75</v>
      </c>
      <c r="E11" s="469">
        <f>SUM(E22:E31)+E32</f>
        <v>123876.416</v>
      </c>
      <c r="F11" s="469"/>
      <c r="G11" s="469"/>
      <c r="H11" s="469"/>
      <c r="I11" s="469">
        <f>I12+I32</f>
        <v>44380</v>
      </c>
      <c r="J11" s="469">
        <f>J12+J52+J70</f>
        <v>79433.304</v>
      </c>
      <c r="K11" s="469">
        <f>K48</f>
        <v>0</v>
      </c>
      <c r="L11" s="469"/>
      <c r="M11" s="469"/>
      <c r="N11" s="469">
        <f>N12+N32+N48</f>
        <v>12384</v>
      </c>
      <c r="O11" s="469">
        <f>O22+O23+O24+O25+O26+O27+O28+O29+O30+O31+O32</f>
        <v>30235.692000000003</v>
      </c>
      <c r="P11" s="469">
        <f>P12</f>
        <v>0</v>
      </c>
      <c r="Q11" s="469"/>
      <c r="R11" s="469"/>
      <c r="S11" s="469">
        <f>S12</f>
        <v>43887.0214</v>
      </c>
      <c r="T11" s="469">
        <f>T12+T32</f>
        <v>166281.89609999998</v>
      </c>
      <c r="U11" s="469"/>
      <c r="V11" s="469"/>
      <c r="W11" s="470" t="s">
        <v>226</v>
      </c>
    </row>
    <row r="12" spans="1:23" ht="11.25">
      <c r="A12" s="471">
        <v>1</v>
      </c>
      <c r="B12" s="472" t="s">
        <v>195</v>
      </c>
      <c r="C12" s="473"/>
      <c r="D12" s="473"/>
      <c r="E12" s="474"/>
      <c r="F12" s="473"/>
      <c r="G12" s="473"/>
      <c r="H12" s="473"/>
      <c r="I12" s="473">
        <f>I13+I14+I15+I16+I17+I18+I19</f>
        <v>44380</v>
      </c>
      <c r="J12" s="473">
        <f>SUM(J22:J31)</f>
        <v>75133.304</v>
      </c>
      <c r="K12" s="473"/>
      <c r="L12" s="473" t="s">
        <v>196</v>
      </c>
      <c r="M12" s="473"/>
      <c r="N12" s="473">
        <f>SUM(N13:N31)</f>
        <v>12384</v>
      </c>
      <c r="O12" s="473"/>
      <c r="P12" s="473"/>
      <c r="Q12" s="473"/>
      <c r="R12" s="473"/>
      <c r="S12" s="473">
        <f>SUM(S13:S31)</f>
        <v>43887.0214</v>
      </c>
      <c r="T12" s="473">
        <f>T22+T23+T24+T25+T26+T27+T28+T29+T30+T31</f>
        <v>160854.9901</v>
      </c>
      <c r="U12" s="473"/>
      <c r="V12" s="473"/>
      <c r="W12" s="45" t="s">
        <v>226</v>
      </c>
    </row>
    <row r="13" spans="1:26" ht="22.5">
      <c r="A13" s="475">
        <v>1</v>
      </c>
      <c r="B13" s="476" t="s">
        <v>831</v>
      </c>
      <c r="C13" s="473"/>
      <c r="D13" s="477">
        <f>'Bieu 3'!I13</f>
        <v>10344</v>
      </c>
      <c r="E13" s="477"/>
      <c r="F13" s="477"/>
      <c r="G13" s="477"/>
      <c r="H13" s="473"/>
      <c r="I13" s="477">
        <f>'Bieu 3'!O13</f>
        <v>10344</v>
      </c>
      <c r="J13" s="477"/>
      <c r="K13" s="477"/>
      <c r="L13" s="477"/>
      <c r="M13" s="473"/>
      <c r="N13" s="477">
        <f>'Bieu 3'!Q13</f>
        <v>3000</v>
      </c>
      <c r="O13" s="477"/>
      <c r="P13" s="477"/>
      <c r="Q13" s="477"/>
      <c r="R13" s="473"/>
      <c r="S13" s="477">
        <f>'Bieu 3'!S13</f>
        <v>5960</v>
      </c>
      <c r="T13" s="478"/>
      <c r="U13" s="477"/>
      <c r="V13" s="477"/>
      <c r="W13" s="45"/>
      <c r="Y13" s="353">
        <f>(T12-T12*10%)+T32+T49</f>
        <v>150496.39708999998</v>
      </c>
      <c r="Z13" s="22">
        <f>Y13+S10</f>
        <v>194983.41848999998</v>
      </c>
    </row>
    <row r="14" spans="1:23" ht="22.5">
      <c r="A14" s="475">
        <v>2</v>
      </c>
      <c r="B14" s="476" t="s">
        <v>813</v>
      </c>
      <c r="C14" s="473"/>
      <c r="D14" s="477">
        <f>'Bieu 3'!I16</f>
        <v>6786</v>
      </c>
      <c r="E14" s="477"/>
      <c r="F14" s="477"/>
      <c r="G14" s="477"/>
      <c r="H14" s="473"/>
      <c r="I14" s="477">
        <f>'Bieu 3'!O16</f>
        <v>6786</v>
      </c>
      <c r="J14" s="477"/>
      <c r="K14" s="477"/>
      <c r="L14" s="477"/>
      <c r="M14" s="473"/>
      <c r="N14" s="477">
        <f>'Bieu 3'!Q16</f>
        <v>2000</v>
      </c>
      <c r="O14" s="477"/>
      <c r="P14" s="477"/>
      <c r="Q14" s="477"/>
      <c r="R14" s="473"/>
      <c r="S14" s="477">
        <f>'Bieu 3'!S16</f>
        <v>6061</v>
      </c>
      <c r="T14" s="478"/>
      <c r="U14" s="477"/>
      <c r="V14" s="477"/>
      <c r="W14" s="45"/>
    </row>
    <row r="15" spans="1:24" ht="22.5">
      <c r="A15" s="475">
        <v>3</v>
      </c>
      <c r="B15" s="476" t="s">
        <v>197</v>
      </c>
      <c r="C15" s="473"/>
      <c r="D15" s="477">
        <f>'Bieu 3'!I12</f>
        <v>1155.75</v>
      </c>
      <c r="E15" s="477"/>
      <c r="F15" s="477"/>
      <c r="G15" s="477"/>
      <c r="H15" s="473"/>
      <c r="I15" s="477"/>
      <c r="J15" s="477"/>
      <c r="K15" s="477"/>
      <c r="L15" s="477"/>
      <c r="M15" s="473"/>
      <c r="N15" s="477">
        <f>'Bieu 3'!Q12</f>
        <v>500</v>
      </c>
      <c r="O15" s="477"/>
      <c r="P15" s="477"/>
      <c r="Q15" s="477"/>
      <c r="R15" s="473"/>
      <c r="S15" s="477">
        <f>'Bieu 3'!S12</f>
        <v>655.75</v>
      </c>
      <c r="T15" s="478"/>
      <c r="U15" s="477"/>
      <c r="V15" s="477"/>
      <c r="W15" s="45"/>
      <c r="X15" s="22">
        <f>203635+T32+T52+U70+V70</f>
        <v>222664.406</v>
      </c>
    </row>
    <row r="16" spans="1:23" ht="22.5">
      <c r="A16" s="475">
        <v>4</v>
      </c>
      <c r="B16" s="476" t="s">
        <v>814</v>
      </c>
      <c r="C16" s="473"/>
      <c r="D16" s="477">
        <f>'Bieu 3'!I19</f>
        <v>7000</v>
      </c>
      <c r="E16" s="477"/>
      <c r="F16" s="477"/>
      <c r="G16" s="477"/>
      <c r="H16" s="473"/>
      <c r="I16" s="477">
        <f>'Bieu 3'!O19</f>
        <v>7000</v>
      </c>
      <c r="J16" s="477"/>
      <c r="K16" s="477"/>
      <c r="L16" s="477"/>
      <c r="M16" s="473"/>
      <c r="N16" s="477">
        <f>'Bieu 3'!Q19</f>
        <v>3000</v>
      </c>
      <c r="O16" s="477"/>
      <c r="P16" s="477"/>
      <c r="Q16" s="477"/>
      <c r="R16" s="473"/>
      <c r="S16" s="477">
        <f>'Bieu 3'!S19</f>
        <v>10320.2328</v>
      </c>
      <c r="T16" s="478"/>
      <c r="U16" s="477"/>
      <c r="V16" s="477"/>
      <c r="W16" s="45"/>
    </row>
    <row r="17" spans="1:23" ht="22.5">
      <c r="A17" s="475">
        <v>5</v>
      </c>
      <c r="B17" s="476" t="s">
        <v>815</v>
      </c>
      <c r="C17" s="473"/>
      <c r="D17" s="477">
        <f>'Bieu 3'!I17</f>
        <v>7000</v>
      </c>
      <c r="E17" s="477"/>
      <c r="F17" s="477"/>
      <c r="G17" s="477"/>
      <c r="H17" s="473"/>
      <c r="I17" s="477">
        <f>'Bieu 3'!O17</f>
        <v>7000</v>
      </c>
      <c r="J17" s="477"/>
      <c r="K17" s="477"/>
      <c r="L17" s="477"/>
      <c r="M17" s="473"/>
      <c r="N17" s="477">
        <f>'Bieu 3'!Q17</f>
        <v>3000</v>
      </c>
      <c r="O17" s="477"/>
      <c r="P17" s="477"/>
      <c r="Q17" s="477"/>
      <c r="R17" s="473"/>
      <c r="S17" s="477">
        <f>'Bieu 3'!S17</f>
        <v>8659.3086</v>
      </c>
      <c r="T17" s="478"/>
      <c r="U17" s="477"/>
      <c r="V17" s="477"/>
      <c r="W17" s="45"/>
    </row>
    <row r="18" spans="1:23" ht="22.5">
      <c r="A18" s="479">
        <v>6</v>
      </c>
      <c r="B18" s="476" t="s">
        <v>198</v>
      </c>
      <c r="C18" s="480"/>
      <c r="D18" s="481">
        <f>'Bieu 3'!I25</f>
        <v>10000</v>
      </c>
      <c r="E18" s="481"/>
      <c r="F18" s="481"/>
      <c r="G18" s="481"/>
      <c r="H18" s="480"/>
      <c r="I18" s="481">
        <f>'Bieu 3'!O25</f>
        <v>11250</v>
      </c>
      <c r="J18" s="481"/>
      <c r="K18" s="481"/>
      <c r="L18" s="481"/>
      <c r="M18" s="480"/>
      <c r="N18" s="481">
        <f>'Bieu 3'!Q25</f>
        <v>884</v>
      </c>
      <c r="O18" s="481"/>
      <c r="P18" s="481"/>
      <c r="Q18" s="481"/>
      <c r="R18" s="480"/>
      <c r="S18" s="481">
        <f>'Bieu 3'!S25</f>
        <v>7700</v>
      </c>
      <c r="T18" s="482"/>
      <c r="U18" s="481"/>
      <c r="V18" s="481"/>
      <c r="W18" s="45"/>
    </row>
    <row r="19" spans="1:23" ht="22.5">
      <c r="A19" s="475">
        <v>7</v>
      </c>
      <c r="B19" s="476" t="s">
        <v>169</v>
      </c>
      <c r="C19" s="480"/>
      <c r="D19" s="481">
        <f>'Bieu 3'!I18</f>
        <v>3000</v>
      </c>
      <c r="E19" s="481"/>
      <c r="F19" s="481"/>
      <c r="G19" s="481"/>
      <c r="H19" s="480"/>
      <c r="I19" s="481">
        <f>'Bieu 3'!O18</f>
        <v>2000</v>
      </c>
      <c r="J19" s="481"/>
      <c r="K19" s="481"/>
      <c r="L19" s="481"/>
      <c r="M19" s="480"/>
      <c r="N19" s="481">
        <f>'Bieu 3'!Q18</f>
        <v>0</v>
      </c>
      <c r="O19" s="481"/>
      <c r="P19" s="481"/>
      <c r="Q19" s="481"/>
      <c r="R19" s="480"/>
      <c r="S19" s="481">
        <f>'Bieu 3'!S18</f>
        <v>4530.73</v>
      </c>
      <c r="T19" s="482"/>
      <c r="U19" s="481"/>
      <c r="V19" s="481"/>
      <c r="W19" s="45"/>
    </row>
    <row r="20" spans="1:23" ht="24.75" customHeight="1">
      <c r="A20" s="479">
        <v>8</v>
      </c>
      <c r="B20" s="476" t="s">
        <v>212</v>
      </c>
      <c r="C20" s="480"/>
      <c r="D20" s="481">
        <f>'Bieu 3'!I24</f>
        <v>0</v>
      </c>
      <c r="E20" s="481"/>
      <c r="F20" s="481"/>
      <c r="G20" s="481"/>
      <c r="H20" s="480"/>
      <c r="I20" s="481">
        <f>'Bieu 3'!O24</f>
        <v>0</v>
      </c>
      <c r="J20" s="481"/>
      <c r="K20" s="481"/>
      <c r="L20" s="481"/>
      <c r="M20" s="480"/>
      <c r="N20" s="481">
        <f>'Bieu 3'!Q24</f>
        <v>0</v>
      </c>
      <c r="O20" s="481"/>
      <c r="P20" s="481"/>
      <c r="Q20" s="481"/>
      <c r="R20" s="480"/>
      <c r="S20" s="481">
        <f>'Bieu 3'!S24</f>
        <v>0</v>
      </c>
      <c r="T20" s="482"/>
      <c r="U20" s="481"/>
      <c r="V20" s="481"/>
      <c r="W20" s="45"/>
    </row>
    <row r="21" spans="1:23" ht="24.75" customHeight="1">
      <c r="A21" s="475">
        <v>9</v>
      </c>
      <c r="B21" s="476" t="s">
        <v>835</v>
      </c>
      <c r="C21" s="608" t="s">
        <v>837</v>
      </c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592"/>
      <c r="W21" s="45" t="s">
        <v>836</v>
      </c>
    </row>
    <row r="22" spans="1:23" ht="22.5">
      <c r="A22" s="479">
        <v>10</v>
      </c>
      <c r="B22" s="476" t="s">
        <v>131</v>
      </c>
      <c r="C22" s="480"/>
      <c r="D22" s="45"/>
      <c r="E22" s="481">
        <f>'Bieu 3'!I27</f>
        <v>9954.33</v>
      </c>
      <c r="F22" s="481"/>
      <c r="G22" s="481"/>
      <c r="H22" s="480"/>
      <c r="I22" s="481"/>
      <c r="J22" s="61">
        <f>'[2]Capnuoc'!$P$29</f>
        <v>4436.345</v>
      </c>
      <c r="K22" s="481"/>
      <c r="L22" s="481"/>
      <c r="M22" s="480"/>
      <c r="N22" s="481"/>
      <c r="O22" s="82">
        <f>'Bieu 3'!Q29</f>
        <v>2464.251</v>
      </c>
      <c r="P22" s="481"/>
      <c r="Q22" s="481"/>
      <c r="R22" s="480"/>
      <c r="S22" s="67"/>
      <c r="T22" s="481">
        <f>'Bieu 3'!S27</f>
        <v>12113.066299999999</v>
      </c>
      <c r="U22" s="481"/>
      <c r="V22" s="481"/>
      <c r="W22" s="45"/>
    </row>
    <row r="23" spans="1:23" ht="22.5">
      <c r="A23" s="475">
        <v>11</v>
      </c>
      <c r="B23" s="476" t="s">
        <v>133</v>
      </c>
      <c r="C23" s="480"/>
      <c r="D23" s="45"/>
      <c r="E23" s="481">
        <f>'Bieu 3'!I30</f>
        <v>6673.139999999999</v>
      </c>
      <c r="F23" s="481"/>
      <c r="G23" s="481"/>
      <c r="H23" s="480"/>
      <c r="I23" s="481"/>
      <c r="J23" s="61">
        <f>'[2]Capnuoc'!$P$23</f>
        <v>5640.9400000000005</v>
      </c>
      <c r="K23" s="481"/>
      <c r="L23" s="481"/>
      <c r="M23" s="480"/>
      <c r="N23" s="481"/>
      <c r="O23" s="82">
        <f>'Bieu 3'!R32</f>
        <v>1800</v>
      </c>
      <c r="P23" s="481"/>
      <c r="Q23" s="481"/>
      <c r="R23" s="480"/>
      <c r="S23" s="67"/>
      <c r="T23" s="481">
        <f>'Bieu 3'!S33</f>
        <v>14297.7434</v>
      </c>
      <c r="U23" s="481"/>
      <c r="V23" s="481"/>
      <c r="W23" s="45"/>
    </row>
    <row r="24" spans="1:23" ht="22.5">
      <c r="A24" s="479">
        <v>12</v>
      </c>
      <c r="B24" s="476" t="s">
        <v>136</v>
      </c>
      <c r="C24" s="480"/>
      <c r="D24" s="45"/>
      <c r="E24" s="481">
        <f>'Bieu 3'!I33</f>
        <v>9747.39</v>
      </c>
      <c r="F24" s="481"/>
      <c r="G24" s="481"/>
      <c r="H24" s="480"/>
      <c r="I24" s="481"/>
      <c r="J24" s="61">
        <f>'[2]Capnuoc'!$P$28</f>
        <v>6577.637000000001</v>
      </c>
      <c r="K24" s="481"/>
      <c r="L24" s="481"/>
      <c r="M24" s="480"/>
      <c r="N24" s="481"/>
      <c r="O24" s="82">
        <f>'Bieu 3'!Q35</f>
        <v>2264.583</v>
      </c>
      <c r="P24" s="481"/>
      <c r="Q24" s="481"/>
      <c r="R24" s="480"/>
      <c r="S24" s="67"/>
      <c r="T24" s="481">
        <f>'Bieu 3'!S30</f>
        <v>8534.803799999998</v>
      </c>
      <c r="U24" s="481"/>
      <c r="V24" s="481"/>
      <c r="W24" s="45"/>
    </row>
    <row r="25" spans="1:23" ht="32.25" customHeight="1">
      <c r="A25" s="475">
        <v>13</v>
      </c>
      <c r="B25" s="476" t="s">
        <v>138</v>
      </c>
      <c r="C25" s="480"/>
      <c r="D25" s="45"/>
      <c r="E25" s="481">
        <f>'Bieu 3'!I36</f>
        <v>20563.649999999998</v>
      </c>
      <c r="F25" s="481"/>
      <c r="G25" s="481"/>
      <c r="H25" s="480"/>
      <c r="I25" s="481"/>
      <c r="J25" s="61">
        <f>'[2]Capnuoc'!$P$25</f>
        <v>18945.419</v>
      </c>
      <c r="K25" s="481"/>
      <c r="L25" s="481"/>
      <c r="M25" s="480"/>
      <c r="N25" s="481"/>
      <c r="O25" s="82">
        <f>'Bieu 3'!Q38</f>
        <v>11336.858</v>
      </c>
      <c r="P25" s="481"/>
      <c r="Q25" s="481"/>
      <c r="R25" s="480"/>
      <c r="S25" s="67"/>
      <c r="T25" s="481">
        <f>'Bieu 3'!S36</f>
        <v>26113.472799999996</v>
      </c>
      <c r="U25" s="481"/>
      <c r="V25" s="481"/>
      <c r="W25" s="45"/>
    </row>
    <row r="26" spans="1:31" ht="33.75" customHeight="1">
      <c r="A26" s="479">
        <v>14</v>
      </c>
      <c r="B26" s="476" t="s">
        <v>181</v>
      </c>
      <c r="C26" s="480"/>
      <c r="D26" s="45"/>
      <c r="E26" s="481">
        <f>'Bieu 3'!I39</f>
        <v>9821.73</v>
      </c>
      <c r="F26" s="481"/>
      <c r="G26" s="481"/>
      <c r="H26" s="480"/>
      <c r="I26" s="481"/>
      <c r="J26" s="61">
        <f>'[2]Capnuoc'!$P$26</f>
        <v>8505.65</v>
      </c>
      <c r="K26" s="481"/>
      <c r="L26" s="481"/>
      <c r="M26" s="480"/>
      <c r="N26" s="481"/>
      <c r="O26" s="82">
        <f>'Bieu 3'!Q41</f>
        <v>2620</v>
      </c>
      <c r="P26" s="481"/>
      <c r="Q26" s="481"/>
      <c r="R26" s="480"/>
      <c r="S26" s="67"/>
      <c r="T26" s="481">
        <f>'Bieu 3'!S39</f>
        <v>13013.9084</v>
      </c>
      <c r="U26" s="481"/>
      <c r="V26" s="481"/>
      <c r="W26" s="45"/>
      <c r="AE26" s="22">
        <f>V10-Y61</f>
        <v>7938.5</v>
      </c>
    </row>
    <row r="27" spans="1:23" ht="22.5">
      <c r="A27" s="475">
        <v>15</v>
      </c>
      <c r="B27" s="476" t="s">
        <v>143</v>
      </c>
      <c r="C27" s="480"/>
      <c r="D27" s="45"/>
      <c r="E27" s="481">
        <f>'Bieu 3'!I42</f>
        <v>10109.73</v>
      </c>
      <c r="F27" s="481"/>
      <c r="G27" s="481"/>
      <c r="H27" s="480"/>
      <c r="I27" s="481"/>
      <c r="J27" s="61">
        <f>'[2]Capnuoc'!$P$24</f>
        <v>9005.016</v>
      </c>
      <c r="K27" s="481"/>
      <c r="L27" s="481"/>
      <c r="M27" s="480"/>
      <c r="N27" s="481"/>
      <c r="O27" s="82">
        <f>'Bieu 3'!Q44</f>
        <v>2550</v>
      </c>
      <c r="P27" s="481"/>
      <c r="Q27" s="481"/>
      <c r="R27" s="480"/>
      <c r="S27" s="67"/>
      <c r="T27" s="481">
        <f>'Bieu 3'!S42</f>
        <v>14374.610799999999</v>
      </c>
      <c r="U27" s="481"/>
      <c r="V27" s="481"/>
      <c r="W27" s="45"/>
    </row>
    <row r="28" spans="1:23" ht="33.75">
      <c r="A28" s="479">
        <v>16</v>
      </c>
      <c r="B28" s="476" t="s">
        <v>199</v>
      </c>
      <c r="C28" s="480"/>
      <c r="D28" s="45"/>
      <c r="E28" s="481">
        <f>'Bieu 3'!I45</f>
        <v>11821.08</v>
      </c>
      <c r="F28" s="481"/>
      <c r="G28" s="481"/>
      <c r="H28" s="480"/>
      <c r="I28" s="481"/>
      <c r="J28" s="61">
        <f>'[2]Capnuoc'!$P$32</f>
        <v>4562.265</v>
      </c>
      <c r="K28" s="481"/>
      <c r="L28" s="481"/>
      <c r="M28" s="480"/>
      <c r="N28" s="481"/>
      <c r="O28" s="82">
        <f>'Bieu 3'!Q47</f>
        <v>1500</v>
      </c>
      <c r="P28" s="481"/>
      <c r="Q28" s="481"/>
      <c r="R28" s="480"/>
      <c r="S28" s="67"/>
      <c r="T28" s="481">
        <f>'Bieu 3'!S45</f>
        <v>15730.2182</v>
      </c>
      <c r="U28" s="481"/>
      <c r="V28" s="481"/>
      <c r="W28" s="45"/>
    </row>
    <row r="29" spans="1:23" ht="45">
      <c r="A29" s="475">
        <v>17</v>
      </c>
      <c r="B29" s="476" t="s">
        <v>146</v>
      </c>
      <c r="C29" s="480"/>
      <c r="D29" s="45"/>
      <c r="E29" s="481">
        <f>'Bieu 3'!I48</f>
        <v>13195.395</v>
      </c>
      <c r="F29" s="481"/>
      <c r="G29" s="481"/>
      <c r="H29" s="480"/>
      <c r="I29" s="481"/>
      <c r="J29" s="61">
        <f>'[2]Capnuoc'!$P$31</f>
        <v>5008.278</v>
      </c>
      <c r="K29" s="481"/>
      <c r="L29" s="481"/>
      <c r="M29" s="480"/>
      <c r="N29" s="481"/>
      <c r="O29" s="82">
        <f>'Bieu 3'!Q50</f>
        <v>1500</v>
      </c>
      <c r="P29" s="481"/>
      <c r="Q29" s="481"/>
      <c r="R29" s="480"/>
      <c r="S29" s="67"/>
      <c r="T29" s="481">
        <f>'Bieu 3'!S48</f>
        <v>18040.400400000002</v>
      </c>
      <c r="U29" s="481"/>
      <c r="V29" s="481"/>
      <c r="W29" s="45"/>
    </row>
    <row r="30" spans="1:23" ht="33.75">
      <c r="A30" s="479">
        <v>18</v>
      </c>
      <c r="B30" s="476" t="s">
        <v>148</v>
      </c>
      <c r="C30" s="480"/>
      <c r="D30" s="45"/>
      <c r="E30" s="481">
        <f>'Bieu 3'!I51</f>
        <v>15054.27</v>
      </c>
      <c r="F30" s="481"/>
      <c r="G30" s="481"/>
      <c r="H30" s="480"/>
      <c r="I30" s="481"/>
      <c r="J30" s="61">
        <f>'[2]Capnuoc'!$P$30</f>
        <v>6765.431</v>
      </c>
      <c r="K30" s="481"/>
      <c r="L30" s="481"/>
      <c r="M30" s="480"/>
      <c r="N30" s="481"/>
      <c r="O30" s="82">
        <f>'Bieu 3'!Q53</f>
        <v>1500</v>
      </c>
      <c r="P30" s="481"/>
      <c r="Q30" s="481"/>
      <c r="R30" s="480"/>
      <c r="S30" s="67"/>
      <c r="T30" s="481">
        <f>'Bieu 3'!S51</f>
        <v>19782.637000000002</v>
      </c>
      <c r="U30" s="481"/>
      <c r="V30" s="481"/>
      <c r="W30" s="45"/>
    </row>
    <row r="31" spans="1:23" ht="45">
      <c r="A31" s="475">
        <v>19</v>
      </c>
      <c r="B31" s="476" t="s">
        <v>149</v>
      </c>
      <c r="C31" s="480"/>
      <c r="D31" s="45"/>
      <c r="E31" s="481">
        <f>'Bieu 3'!I54</f>
        <v>14208.795</v>
      </c>
      <c r="F31" s="481"/>
      <c r="G31" s="481"/>
      <c r="H31" s="480"/>
      <c r="I31" s="481"/>
      <c r="J31" s="61">
        <f>'[2]Capnuoc'!$P$33</f>
        <v>5686.323</v>
      </c>
      <c r="K31" s="481"/>
      <c r="L31" s="481"/>
      <c r="M31" s="480"/>
      <c r="N31" s="481"/>
      <c r="O31" s="82">
        <f>'Bieu 3'!Q56</f>
        <v>1500</v>
      </c>
      <c r="P31" s="481"/>
      <c r="Q31" s="481"/>
      <c r="R31" s="480"/>
      <c r="S31" s="67"/>
      <c r="T31" s="481">
        <f>'Bieu 3'!S54</f>
        <v>18854.129</v>
      </c>
      <c r="U31" s="481"/>
      <c r="V31" s="481"/>
      <c r="W31" s="45"/>
    </row>
    <row r="32" spans="1:23" s="103" customFormat="1" ht="12.75" customHeight="1">
      <c r="A32" s="483">
        <v>2</v>
      </c>
      <c r="B32" s="484" t="s">
        <v>200</v>
      </c>
      <c r="C32" s="473"/>
      <c r="D32" s="477"/>
      <c r="E32" s="473">
        <f>SUM(E34:E41)</f>
        <v>2726.906</v>
      </c>
      <c r="F32" s="473"/>
      <c r="G32" s="477"/>
      <c r="H32" s="473">
        <f>J32</f>
        <v>2726.906</v>
      </c>
      <c r="I32" s="473"/>
      <c r="J32" s="473">
        <f>SUM(J34:J41)</f>
        <v>2726.906</v>
      </c>
      <c r="K32" s="473"/>
      <c r="L32" s="473"/>
      <c r="M32" s="473"/>
      <c r="N32" s="473"/>
      <c r="O32" s="473">
        <f>SUM(O34:O41)</f>
        <v>1200</v>
      </c>
      <c r="P32" s="473"/>
      <c r="Q32" s="473"/>
      <c r="R32" s="473"/>
      <c r="S32" s="473"/>
      <c r="T32" s="473">
        <f>SUM(T34:T51)</f>
        <v>5426.906</v>
      </c>
      <c r="U32" s="473"/>
      <c r="V32" s="473"/>
      <c r="W32" s="413" t="s">
        <v>226</v>
      </c>
    </row>
    <row r="33" spans="1:23" ht="11.25">
      <c r="A33" s="471"/>
      <c r="B33" s="472" t="s">
        <v>201</v>
      </c>
      <c r="C33" s="473"/>
      <c r="D33" s="477"/>
      <c r="E33" s="477"/>
      <c r="F33" s="477"/>
      <c r="G33" s="477"/>
      <c r="H33" s="473"/>
      <c r="I33" s="477"/>
      <c r="J33" s="477"/>
      <c r="K33" s="477"/>
      <c r="L33" s="477"/>
      <c r="M33" s="473"/>
      <c r="N33" s="477"/>
      <c r="O33" s="477"/>
      <c r="P33" s="477"/>
      <c r="Q33" s="477"/>
      <c r="R33" s="473"/>
      <c r="S33" s="477"/>
      <c r="T33" s="478"/>
      <c r="U33" s="477"/>
      <c r="V33" s="477"/>
      <c r="W33" s="45"/>
    </row>
    <row r="34" spans="1:23" ht="22.5">
      <c r="A34" s="485">
        <v>1</v>
      </c>
      <c r="B34" s="486" t="s">
        <v>172</v>
      </c>
      <c r="C34" s="487"/>
      <c r="D34" s="488"/>
      <c r="E34" s="489">
        <v>467.264</v>
      </c>
      <c r="F34" s="488"/>
      <c r="G34" s="488"/>
      <c r="H34" s="487"/>
      <c r="I34" s="488"/>
      <c r="J34" s="489">
        <v>467.264</v>
      </c>
      <c r="K34" s="488"/>
      <c r="L34" s="488"/>
      <c r="M34" s="487"/>
      <c r="N34" s="488"/>
      <c r="O34" s="488">
        <f>'Bieu 3'!Q75</f>
        <v>150</v>
      </c>
      <c r="P34" s="488"/>
      <c r="Q34" s="488"/>
      <c r="R34" s="487"/>
      <c r="S34" s="488"/>
      <c r="T34" s="490">
        <f>J34-O34</f>
        <v>317.264</v>
      </c>
      <c r="U34" s="488"/>
      <c r="V34" s="488"/>
      <c r="W34" s="45"/>
    </row>
    <row r="35" spans="1:23" ht="22.5">
      <c r="A35" s="485">
        <v>2</v>
      </c>
      <c r="B35" s="486" t="s">
        <v>173</v>
      </c>
      <c r="C35" s="487"/>
      <c r="D35" s="488"/>
      <c r="E35" s="489">
        <v>452.344</v>
      </c>
      <c r="F35" s="488"/>
      <c r="G35" s="488"/>
      <c r="H35" s="487"/>
      <c r="I35" s="488"/>
      <c r="J35" s="489">
        <v>452.344</v>
      </c>
      <c r="K35" s="488"/>
      <c r="L35" s="488"/>
      <c r="M35" s="487"/>
      <c r="N35" s="488"/>
      <c r="O35" s="488">
        <f>'Bieu 3'!Q76</f>
        <v>150</v>
      </c>
      <c r="P35" s="488"/>
      <c r="Q35" s="488"/>
      <c r="R35" s="487"/>
      <c r="S35" s="488"/>
      <c r="T35" s="490">
        <f aca="true" t="shared" si="0" ref="T35:T41">J35-O35</f>
        <v>302.344</v>
      </c>
      <c r="U35" s="488"/>
      <c r="V35" s="488"/>
      <c r="W35" s="45"/>
    </row>
    <row r="36" spans="1:23" ht="11.25">
      <c r="A36" s="485">
        <v>3</v>
      </c>
      <c r="B36" s="476" t="s">
        <v>174</v>
      </c>
      <c r="C36" s="473"/>
      <c r="D36" s="477"/>
      <c r="E36" s="491">
        <v>325.831</v>
      </c>
      <c r="F36" s="477"/>
      <c r="G36" s="477"/>
      <c r="H36" s="473"/>
      <c r="I36" s="477"/>
      <c r="J36" s="491">
        <v>325.831</v>
      </c>
      <c r="K36" s="477"/>
      <c r="L36" s="477"/>
      <c r="M36" s="473"/>
      <c r="N36" s="477"/>
      <c r="O36" s="488">
        <f>'Bieu 3'!Q77</f>
        <v>150</v>
      </c>
      <c r="P36" s="477"/>
      <c r="Q36" s="477"/>
      <c r="R36" s="473"/>
      <c r="S36" s="477"/>
      <c r="T36" s="490">
        <f t="shared" si="0"/>
        <v>175.83100000000002</v>
      </c>
      <c r="U36" s="477"/>
      <c r="V36" s="477"/>
      <c r="W36" s="45"/>
    </row>
    <row r="37" spans="1:23" ht="11.25">
      <c r="A37" s="485">
        <v>4</v>
      </c>
      <c r="B37" s="476" t="s">
        <v>175</v>
      </c>
      <c r="C37" s="473"/>
      <c r="D37" s="477"/>
      <c r="E37" s="491">
        <v>333.397</v>
      </c>
      <c r="F37" s="477"/>
      <c r="G37" s="477"/>
      <c r="H37" s="473"/>
      <c r="I37" s="477"/>
      <c r="J37" s="491">
        <v>333.397</v>
      </c>
      <c r="K37" s="477"/>
      <c r="L37" s="477"/>
      <c r="M37" s="473"/>
      <c r="N37" s="477"/>
      <c r="O37" s="488">
        <f>'Bieu 3'!Q78</f>
        <v>150</v>
      </c>
      <c r="P37" s="477"/>
      <c r="Q37" s="477"/>
      <c r="R37" s="473"/>
      <c r="S37" s="477"/>
      <c r="T37" s="490">
        <f t="shared" si="0"/>
        <v>183.397</v>
      </c>
      <c r="U37" s="477"/>
      <c r="V37" s="477"/>
      <c r="W37" s="45"/>
    </row>
    <row r="38" spans="1:23" ht="11.25">
      <c r="A38" s="485">
        <v>5</v>
      </c>
      <c r="B38" s="476" t="s">
        <v>176</v>
      </c>
      <c r="C38" s="473"/>
      <c r="D38" s="477"/>
      <c r="E38" s="491">
        <v>307.796</v>
      </c>
      <c r="F38" s="477"/>
      <c r="G38" s="477"/>
      <c r="H38" s="473"/>
      <c r="I38" s="477"/>
      <c r="J38" s="491">
        <v>307.796</v>
      </c>
      <c r="K38" s="477"/>
      <c r="L38" s="477"/>
      <c r="M38" s="473"/>
      <c r="N38" s="477"/>
      <c r="O38" s="488">
        <f>'Bieu 3'!Q79</f>
        <v>150</v>
      </c>
      <c r="P38" s="477"/>
      <c r="Q38" s="477"/>
      <c r="R38" s="473"/>
      <c r="S38" s="477"/>
      <c r="T38" s="490">
        <f t="shared" si="0"/>
        <v>157.796</v>
      </c>
      <c r="U38" s="477"/>
      <c r="V38" s="477"/>
      <c r="W38" s="45"/>
    </row>
    <row r="39" spans="1:23" ht="11.25">
      <c r="A39" s="485">
        <v>6</v>
      </c>
      <c r="B39" s="476" t="s">
        <v>177</v>
      </c>
      <c r="C39" s="473"/>
      <c r="D39" s="477"/>
      <c r="E39" s="491">
        <v>241.645</v>
      </c>
      <c r="F39" s="477"/>
      <c r="G39" s="477"/>
      <c r="H39" s="473"/>
      <c r="I39" s="477"/>
      <c r="J39" s="491">
        <v>241.645</v>
      </c>
      <c r="K39" s="477"/>
      <c r="L39" s="477"/>
      <c r="M39" s="473"/>
      <c r="N39" s="477"/>
      <c r="O39" s="488">
        <f>'Bieu 3'!Q80</f>
        <v>150</v>
      </c>
      <c r="P39" s="477"/>
      <c r="Q39" s="477"/>
      <c r="R39" s="473"/>
      <c r="S39" s="477"/>
      <c r="T39" s="490">
        <f t="shared" si="0"/>
        <v>91.64500000000001</v>
      </c>
      <c r="U39" s="477"/>
      <c r="V39" s="477"/>
      <c r="W39" s="45"/>
    </row>
    <row r="40" spans="1:23" ht="11.25">
      <c r="A40" s="485">
        <v>7</v>
      </c>
      <c r="B40" s="476" t="s">
        <v>178</v>
      </c>
      <c r="C40" s="473"/>
      <c r="D40" s="477"/>
      <c r="E40" s="491">
        <v>246.404</v>
      </c>
      <c r="F40" s="477"/>
      <c r="G40" s="477"/>
      <c r="H40" s="473"/>
      <c r="I40" s="477"/>
      <c r="J40" s="491">
        <v>246.404</v>
      </c>
      <c r="K40" s="477"/>
      <c r="L40" s="477"/>
      <c r="M40" s="473"/>
      <c r="N40" s="477"/>
      <c r="O40" s="488">
        <f>'Bieu 3'!Q81</f>
        <v>150</v>
      </c>
      <c r="P40" s="477"/>
      <c r="Q40" s="477"/>
      <c r="R40" s="473"/>
      <c r="S40" s="477"/>
      <c r="T40" s="490">
        <f t="shared" si="0"/>
        <v>96.404</v>
      </c>
      <c r="U40" s="477"/>
      <c r="V40" s="477"/>
      <c r="W40" s="45"/>
    </row>
    <row r="41" spans="1:23" ht="11.25">
      <c r="A41" s="485">
        <v>8</v>
      </c>
      <c r="B41" s="476" t="s">
        <v>179</v>
      </c>
      <c r="C41" s="473"/>
      <c r="D41" s="477"/>
      <c r="E41" s="491">
        <v>352.225</v>
      </c>
      <c r="F41" s="477"/>
      <c r="G41" s="477"/>
      <c r="H41" s="473"/>
      <c r="I41" s="477"/>
      <c r="J41" s="491">
        <v>352.225</v>
      </c>
      <c r="K41" s="477"/>
      <c r="L41" s="477"/>
      <c r="M41" s="473"/>
      <c r="N41" s="477"/>
      <c r="O41" s="488">
        <f>'Bieu 3'!Q82</f>
        <v>150</v>
      </c>
      <c r="P41" s="477"/>
      <c r="Q41" s="477"/>
      <c r="R41" s="473"/>
      <c r="S41" s="477"/>
      <c r="T41" s="490">
        <f t="shared" si="0"/>
        <v>202.22500000000002</v>
      </c>
      <c r="U41" s="477"/>
      <c r="V41" s="477"/>
      <c r="W41" s="45"/>
    </row>
    <row r="42" spans="1:25" ht="11.25">
      <c r="A42" s="44">
        <v>9</v>
      </c>
      <c r="B42" s="48" t="s">
        <v>821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94"/>
      <c r="P42" s="94"/>
      <c r="Q42" s="48"/>
      <c r="R42" s="48"/>
      <c r="S42" s="46"/>
      <c r="T42" s="48">
        <v>600</v>
      </c>
      <c r="U42" s="48"/>
      <c r="V42" s="492"/>
      <c r="W42" s="492"/>
      <c r="X42" s="21"/>
      <c r="Y42" s="21"/>
    </row>
    <row r="43" spans="1:25" ht="11.25">
      <c r="A43" s="485">
        <v>10</v>
      </c>
      <c r="B43" s="48" t="s">
        <v>822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94"/>
      <c r="P43" s="94"/>
      <c r="Q43" s="48"/>
      <c r="R43" s="48"/>
      <c r="S43" s="46"/>
      <c r="T43" s="48">
        <v>300</v>
      </c>
      <c r="U43" s="48"/>
      <c r="V43" s="492"/>
      <c r="W43" s="492"/>
      <c r="X43" s="21"/>
      <c r="Y43" s="21"/>
    </row>
    <row r="44" spans="1:25" ht="11.25">
      <c r="A44" s="44">
        <v>11</v>
      </c>
      <c r="B44" s="48" t="s">
        <v>826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94"/>
      <c r="P44" s="94"/>
      <c r="Q44" s="48"/>
      <c r="R44" s="48"/>
      <c r="S44" s="46"/>
      <c r="T44" s="48">
        <v>300</v>
      </c>
      <c r="U44" s="48"/>
      <c r="V44" s="492"/>
      <c r="W44" s="492"/>
      <c r="X44" s="21"/>
      <c r="Y44" s="21"/>
    </row>
    <row r="45" spans="1:25" ht="11.25">
      <c r="A45" s="485">
        <v>12</v>
      </c>
      <c r="B45" s="48" t="s">
        <v>824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94"/>
      <c r="P45" s="94"/>
      <c r="Q45" s="48"/>
      <c r="R45" s="48"/>
      <c r="S45" s="46"/>
      <c r="T45" s="48">
        <v>300</v>
      </c>
      <c r="U45" s="48"/>
      <c r="V45" s="492"/>
      <c r="W45" s="492"/>
      <c r="X45" s="21"/>
      <c r="Y45" s="21"/>
    </row>
    <row r="46" spans="1:25" ht="11.25">
      <c r="A46" s="44">
        <v>13</v>
      </c>
      <c r="B46" s="48" t="s">
        <v>827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94"/>
      <c r="P46" s="94"/>
      <c r="Q46" s="48"/>
      <c r="R46" s="48"/>
      <c r="S46" s="46"/>
      <c r="T46" s="48">
        <v>600</v>
      </c>
      <c r="U46" s="48"/>
      <c r="V46" s="492"/>
      <c r="W46" s="492"/>
      <c r="X46" s="21"/>
      <c r="Y46" s="21"/>
    </row>
    <row r="47" spans="1:25" ht="11.25">
      <c r="A47" s="485">
        <v>14</v>
      </c>
      <c r="B47" s="48" t="s">
        <v>828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94"/>
      <c r="P47" s="94"/>
      <c r="Q47" s="48"/>
      <c r="R47" s="48"/>
      <c r="S47" s="46"/>
      <c r="T47" s="48">
        <v>300</v>
      </c>
      <c r="U47" s="48"/>
      <c r="V47" s="492"/>
      <c r="W47" s="492"/>
      <c r="X47" s="21"/>
      <c r="Y47" s="21"/>
    </row>
    <row r="48" spans="1:25" ht="11.25">
      <c r="A48" s="44">
        <v>15</v>
      </c>
      <c r="B48" s="48" t="s">
        <v>829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94"/>
      <c r="P48" s="94"/>
      <c r="Q48" s="48"/>
      <c r="R48" s="48"/>
      <c r="S48" s="46"/>
      <c r="T48" s="48">
        <v>300</v>
      </c>
      <c r="U48" s="48"/>
      <c r="V48" s="492"/>
      <c r="W48" s="492"/>
      <c r="X48" s="21"/>
      <c r="Y48" s="21"/>
    </row>
    <row r="49" spans="1:25" ht="11.25">
      <c r="A49" s="485">
        <v>16</v>
      </c>
      <c r="B49" s="48" t="s">
        <v>820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94"/>
      <c r="P49" s="94"/>
      <c r="Q49" s="48"/>
      <c r="R49" s="48"/>
      <c r="S49" s="46"/>
      <c r="T49" s="48">
        <v>300</v>
      </c>
      <c r="U49" s="48"/>
      <c r="V49" s="492"/>
      <c r="W49" s="492"/>
      <c r="X49" s="21"/>
      <c r="Y49" s="21"/>
    </row>
    <row r="50" spans="1:25" ht="11.25">
      <c r="A50" s="44">
        <v>17</v>
      </c>
      <c r="B50" s="48" t="s">
        <v>823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94"/>
      <c r="P50" s="94"/>
      <c r="Q50" s="48"/>
      <c r="R50" s="48"/>
      <c r="S50" s="46"/>
      <c r="T50" s="48">
        <v>600</v>
      </c>
      <c r="U50" s="48"/>
      <c r="V50" s="492"/>
      <c r="W50" s="492"/>
      <c r="X50" s="21"/>
      <c r="Y50" s="21"/>
    </row>
    <row r="51" spans="1:25" ht="11.25">
      <c r="A51" s="485">
        <v>18</v>
      </c>
      <c r="B51" s="48" t="s">
        <v>825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4"/>
      <c r="P51" s="94"/>
      <c r="Q51" s="48"/>
      <c r="R51" s="48"/>
      <c r="S51" s="46"/>
      <c r="T51" s="48">
        <v>300</v>
      </c>
      <c r="U51" s="48"/>
      <c r="V51" s="492"/>
      <c r="W51" s="492"/>
      <c r="X51" s="21"/>
      <c r="Y51" s="21"/>
    </row>
    <row r="52" spans="1:25" s="37" customFormat="1" ht="10.5">
      <c r="A52" s="507" t="s">
        <v>43</v>
      </c>
      <c r="B52" s="64" t="s">
        <v>203</v>
      </c>
      <c r="C52" s="64"/>
      <c r="D52" s="64"/>
      <c r="E52" s="64"/>
      <c r="F52" s="64"/>
      <c r="G52" s="64"/>
      <c r="H52" s="64">
        <f>I52+J52+K52</f>
        <v>4948</v>
      </c>
      <c r="I52" s="64">
        <f>I53</f>
        <v>368</v>
      </c>
      <c r="J52" s="64">
        <f>J53+J69</f>
        <v>4300</v>
      </c>
      <c r="K52" s="64">
        <f>K68</f>
        <v>280</v>
      </c>
      <c r="L52" s="64"/>
      <c r="M52" s="64"/>
      <c r="N52" s="64">
        <f>N55+N56</f>
        <v>368</v>
      </c>
      <c r="O52" s="508">
        <f>O57+O58+O59+O60+O69</f>
        <v>4300</v>
      </c>
      <c r="P52" s="508">
        <f>P68</f>
        <v>280</v>
      </c>
      <c r="Q52" s="64"/>
      <c r="R52" s="64"/>
      <c r="S52" s="36">
        <f>S61+S66+S67</f>
        <v>600</v>
      </c>
      <c r="T52" s="473">
        <f>T54+T69</f>
        <v>5264</v>
      </c>
      <c r="U52" s="64"/>
      <c r="V52" s="492"/>
      <c r="W52" s="492"/>
      <c r="X52" s="21"/>
      <c r="Y52" s="21"/>
    </row>
    <row r="53" spans="1:25" s="37" customFormat="1" ht="10.5">
      <c r="A53" s="507">
        <v>1</v>
      </c>
      <c r="B53" s="64" t="s">
        <v>830</v>
      </c>
      <c r="C53" s="64"/>
      <c r="D53" s="64"/>
      <c r="E53" s="64"/>
      <c r="F53" s="64"/>
      <c r="G53" s="64"/>
      <c r="H53" s="64"/>
      <c r="I53" s="64">
        <f>I55+I56</f>
        <v>368</v>
      </c>
      <c r="J53" s="64">
        <f>J57+J58+J59+J60</f>
        <v>800</v>
      </c>
      <c r="K53" s="64"/>
      <c r="L53" s="64"/>
      <c r="M53" s="64"/>
      <c r="N53" s="64"/>
      <c r="O53" s="508"/>
      <c r="P53" s="508"/>
      <c r="Q53" s="64"/>
      <c r="R53" s="64"/>
      <c r="S53" s="36"/>
      <c r="T53" s="64"/>
      <c r="U53" s="64"/>
      <c r="V53" s="492"/>
      <c r="W53" s="492"/>
      <c r="X53" s="21"/>
      <c r="Y53" s="21"/>
    </row>
    <row r="54" spans="1:25" s="37" customFormat="1" ht="10.5">
      <c r="A54" s="507"/>
      <c r="B54" s="64" t="s">
        <v>204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508"/>
      <c r="P54" s="508"/>
      <c r="Q54" s="64"/>
      <c r="R54" s="64"/>
      <c r="S54" s="36"/>
      <c r="T54" s="64">
        <f>SUM(T55:T67)</f>
        <v>1000</v>
      </c>
      <c r="U54" s="64"/>
      <c r="V54" s="492"/>
      <c r="W54" s="492"/>
      <c r="X54" s="21"/>
      <c r="Y54" s="21"/>
    </row>
    <row r="55" spans="1:23" ht="11.25">
      <c r="A55" s="475">
        <v>1</v>
      </c>
      <c r="B55" s="476" t="s">
        <v>316</v>
      </c>
      <c r="C55" s="473"/>
      <c r="D55" s="477">
        <v>184</v>
      </c>
      <c r="E55" s="477"/>
      <c r="F55" s="477"/>
      <c r="G55" s="477"/>
      <c r="H55" s="473"/>
      <c r="I55" s="477">
        <f>D55</f>
        <v>184</v>
      </c>
      <c r="J55" s="493"/>
      <c r="K55" s="477"/>
      <c r="L55" s="477"/>
      <c r="M55" s="473"/>
      <c r="N55" s="477">
        <f>I55</f>
        <v>184</v>
      </c>
      <c r="O55" s="477"/>
      <c r="P55" s="477"/>
      <c r="Q55" s="477"/>
      <c r="R55" s="473"/>
      <c r="S55" s="477"/>
      <c r="T55" s="478"/>
      <c r="U55" s="477"/>
      <c r="V55" s="477"/>
      <c r="W55" s="45"/>
    </row>
    <row r="56" spans="1:23" ht="11.25">
      <c r="A56" s="475">
        <v>2</v>
      </c>
      <c r="B56" s="476" t="s">
        <v>205</v>
      </c>
      <c r="C56" s="473"/>
      <c r="D56" s="477">
        <v>184</v>
      </c>
      <c r="E56" s="477"/>
      <c r="F56" s="477"/>
      <c r="G56" s="477"/>
      <c r="H56" s="473"/>
      <c r="I56" s="477">
        <f>D56</f>
        <v>184</v>
      </c>
      <c r="J56" s="493"/>
      <c r="K56" s="477"/>
      <c r="L56" s="477"/>
      <c r="M56" s="473"/>
      <c r="N56" s="477">
        <f>I56</f>
        <v>184</v>
      </c>
      <c r="O56" s="477"/>
      <c r="P56" s="477"/>
      <c r="Q56" s="477"/>
      <c r="R56" s="473"/>
      <c r="S56" s="477"/>
      <c r="T56" s="478"/>
      <c r="U56" s="477"/>
      <c r="V56" s="477"/>
      <c r="W56" s="45"/>
    </row>
    <row r="57" spans="1:23" ht="11.25">
      <c r="A57" s="475">
        <v>3</v>
      </c>
      <c r="B57" s="476" t="s">
        <v>171</v>
      </c>
      <c r="C57" s="473"/>
      <c r="D57" s="477"/>
      <c r="E57" s="477">
        <v>200</v>
      </c>
      <c r="F57" s="477"/>
      <c r="G57" s="477"/>
      <c r="H57" s="473"/>
      <c r="I57" s="477"/>
      <c r="J57" s="477">
        <v>200</v>
      </c>
      <c r="K57" s="477"/>
      <c r="L57" s="477"/>
      <c r="M57" s="473"/>
      <c r="N57" s="477"/>
      <c r="O57" s="477">
        <f>J57</f>
        <v>200</v>
      </c>
      <c r="P57" s="477"/>
      <c r="Q57" s="477"/>
      <c r="R57" s="473"/>
      <c r="S57" s="477"/>
      <c r="T57" s="478"/>
      <c r="U57" s="477"/>
      <c r="V57" s="477"/>
      <c r="W57" s="45"/>
    </row>
    <row r="58" spans="1:23" ht="11.25">
      <c r="A58" s="475">
        <v>4</v>
      </c>
      <c r="B58" s="476" t="s">
        <v>157</v>
      </c>
      <c r="C58" s="473"/>
      <c r="D58" s="477"/>
      <c r="E58" s="477">
        <v>200</v>
      </c>
      <c r="F58" s="477"/>
      <c r="G58" s="477"/>
      <c r="H58" s="473"/>
      <c r="I58" s="477"/>
      <c r="J58" s="477">
        <v>200</v>
      </c>
      <c r="K58" s="477"/>
      <c r="L58" s="477"/>
      <c r="M58" s="473"/>
      <c r="N58" s="477"/>
      <c r="O58" s="477">
        <f>J58</f>
        <v>200</v>
      </c>
      <c r="P58" s="477"/>
      <c r="Q58" s="477"/>
      <c r="R58" s="473"/>
      <c r="S58" s="477"/>
      <c r="T58" s="478"/>
      <c r="U58" s="477"/>
      <c r="V58" s="477"/>
      <c r="W58" s="45"/>
    </row>
    <row r="59" spans="1:23" ht="11.25">
      <c r="A59" s="475">
        <v>5</v>
      </c>
      <c r="B59" s="476" t="s">
        <v>156</v>
      </c>
      <c r="C59" s="473"/>
      <c r="D59" s="477"/>
      <c r="E59" s="477">
        <v>200</v>
      </c>
      <c r="F59" s="477"/>
      <c r="G59" s="477"/>
      <c r="H59" s="473"/>
      <c r="I59" s="477"/>
      <c r="J59" s="477">
        <v>200</v>
      </c>
      <c r="K59" s="477"/>
      <c r="L59" s="477"/>
      <c r="M59" s="473"/>
      <c r="N59" s="477"/>
      <c r="O59" s="477">
        <f>J59</f>
        <v>200</v>
      </c>
      <c r="P59" s="477"/>
      <c r="Q59" s="477"/>
      <c r="R59" s="473"/>
      <c r="S59" s="477"/>
      <c r="T59" s="478"/>
      <c r="U59" s="477"/>
      <c r="V59" s="477"/>
      <c r="W59" s="45"/>
    </row>
    <row r="60" spans="1:23" ht="11.25">
      <c r="A60" s="475">
        <v>6</v>
      </c>
      <c r="B60" s="476" t="s">
        <v>155</v>
      </c>
      <c r="C60" s="473"/>
      <c r="D60" s="477"/>
      <c r="E60" s="477">
        <v>200</v>
      </c>
      <c r="F60" s="477"/>
      <c r="G60" s="477"/>
      <c r="H60" s="473"/>
      <c r="I60" s="477"/>
      <c r="J60" s="477">
        <v>200</v>
      </c>
      <c r="K60" s="477"/>
      <c r="L60" s="477"/>
      <c r="M60" s="473"/>
      <c r="N60" s="477"/>
      <c r="O60" s="477">
        <f>J60</f>
        <v>200</v>
      </c>
      <c r="P60" s="477"/>
      <c r="Q60" s="477"/>
      <c r="R60" s="473"/>
      <c r="S60" s="477"/>
      <c r="T60" s="478"/>
      <c r="U60" s="477"/>
      <c r="V60" s="477"/>
      <c r="W60" s="45"/>
    </row>
    <row r="61" spans="1:23" ht="11.25">
      <c r="A61" s="475">
        <v>7</v>
      </c>
      <c r="B61" s="494" t="str">
        <f>'Bieu 3'!B63</f>
        <v>TT Đống Văn</v>
      </c>
      <c r="C61" s="473"/>
      <c r="D61" s="477"/>
      <c r="E61" s="477"/>
      <c r="F61" s="477"/>
      <c r="G61" s="477"/>
      <c r="H61" s="473"/>
      <c r="I61" s="477"/>
      <c r="J61" s="477"/>
      <c r="K61" s="477"/>
      <c r="L61" s="477"/>
      <c r="M61" s="473"/>
      <c r="N61" s="477"/>
      <c r="O61" s="477"/>
      <c r="P61" s="477"/>
      <c r="Q61" s="477"/>
      <c r="R61" s="473"/>
      <c r="S61" s="478">
        <f>'Bieu 3'!S63</f>
        <v>200</v>
      </c>
      <c r="T61" s="67"/>
      <c r="U61" s="477"/>
      <c r="V61" s="477"/>
      <c r="W61" s="45"/>
    </row>
    <row r="62" spans="1:23" ht="11.25">
      <c r="A62" s="475">
        <v>8</v>
      </c>
      <c r="B62" s="494" t="str">
        <f>'Bieu 3'!B69</f>
        <v>Xã Đại Cương</v>
      </c>
      <c r="C62" s="473"/>
      <c r="D62" s="477"/>
      <c r="E62" s="477"/>
      <c r="F62" s="477"/>
      <c r="G62" s="477"/>
      <c r="H62" s="473"/>
      <c r="I62" s="477"/>
      <c r="J62" s="477"/>
      <c r="K62" s="477"/>
      <c r="L62" s="477"/>
      <c r="M62" s="473"/>
      <c r="N62" s="477"/>
      <c r="O62" s="477"/>
      <c r="P62" s="477"/>
      <c r="Q62" s="477"/>
      <c r="R62" s="473"/>
      <c r="S62" s="477"/>
      <c r="T62" s="478">
        <f>'Bieu 3'!S69</f>
        <v>250</v>
      </c>
      <c r="U62" s="477"/>
      <c r="V62" s="477"/>
      <c r="W62" s="45"/>
    </row>
    <row r="63" spans="1:23" ht="11.25">
      <c r="A63" s="475">
        <v>9</v>
      </c>
      <c r="B63" s="494" t="str">
        <f>'Bieu 3'!B70</f>
        <v>TT Kiện Khê</v>
      </c>
      <c r="C63" s="473"/>
      <c r="D63" s="477"/>
      <c r="E63" s="477"/>
      <c r="F63" s="477"/>
      <c r="G63" s="477"/>
      <c r="H63" s="473"/>
      <c r="I63" s="477"/>
      <c r="J63" s="477"/>
      <c r="K63" s="477"/>
      <c r="L63" s="477"/>
      <c r="M63" s="473"/>
      <c r="N63" s="477"/>
      <c r="O63" s="477"/>
      <c r="P63" s="477"/>
      <c r="Q63" s="477"/>
      <c r="R63" s="473"/>
      <c r="S63" s="477"/>
      <c r="T63" s="478">
        <f>'Bieu 3'!S70</f>
        <v>250</v>
      </c>
      <c r="U63" s="477"/>
      <c r="V63" s="477"/>
      <c r="W63" s="45"/>
    </row>
    <row r="64" spans="1:23" ht="11.25">
      <c r="A64" s="475">
        <v>10</v>
      </c>
      <c r="B64" s="494" t="str">
        <f>'Bieu 3'!B71</f>
        <v>Xã Trung Lương</v>
      </c>
      <c r="C64" s="473"/>
      <c r="D64" s="477"/>
      <c r="E64" s="477"/>
      <c r="F64" s="477"/>
      <c r="G64" s="477"/>
      <c r="H64" s="473"/>
      <c r="I64" s="477"/>
      <c r="J64" s="477"/>
      <c r="K64" s="477"/>
      <c r="L64" s="477"/>
      <c r="M64" s="473"/>
      <c r="N64" s="477"/>
      <c r="O64" s="477"/>
      <c r="P64" s="477"/>
      <c r="Q64" s="477"/>
      <c r="R64" s="473"/>
      <c r="S64" s="477"/>
      <c r="T64" s="478">
        <f>'Bieu 3'!S71</f>
        <v>250</v>
      </c>
      <c r="U64" s="477"/>
      <c r="V64" s="477"/>
      <c r="W64" s="45"/>
    </row>
    <row r="65" spans="1:23" ht="11.25">
      <c r="A65" s="475">
        <v>11</v>
      </c>
      <c r="B65" s="494" t="s">
        <v>667</v>
      </c>
      <c r="C65" s="473"/>
      <c r="D65" s="477"/>
      <c r="E65" s="477"/>
      <c r="F65" s="477"/>
      <c r="G65" s="477"/>
      <c r="H65" s="473"/>
      <c r="I65" s="477"/>
      <c r="J65" s="477"/>
      <c r="K65" s="477"/>
      <c r="L65" s="477"/>
      <c r="M65" s="473"/>
      <c r="N65" s="477"/>
      <c r="O65" s="477"/>
      <c r="P65" s="477"/>
      <c r="Q65" s="477"/>
      <c r="R65" s="473"/>
      <c r="S65" s="477"/>
      <c r="T65" s="478">
        <v>250</v>
      </c>
      <c r="U65" s="477"/>
      <c r="V65" s="477"/>
      <c r="W65" s="45"/>
    </row>
    <row r="66" spans="1:23" ht="11.25">
      <c r="A66" s="475">
        <v>12</v>
      </c>
      <c r="B66" s="494" t="str">
        <f>'Bieu 3'!B61</f>
        <v>Xã An Lão</v>
      </c>
      <c r="C66" s="473"/>
      <c r="D66" s="477"/>
      <c r="E66" s="477"/>
      <c r="F66" s="477"/>
      <c r="G66" s="477"/>
      <c r="H66" s="473"/>
      <c r="I66" s="477"/>
      <c r="J66" s="477"/>
      <c r="K66" s="477"/>
      <c r="L66" s="477"/>
      <c r="M66" s="473"/>
      <c r="N66" s="477"/>
      <c r="O66" s="477"/>
      <c r="P66" s="477"/>
      <c r="Q66" s="477"/>
      <c r="R66" s="473"/>
      <c r="S66" s="477">
        <f>'Bieu 3'!S61</f>
        <v>200</v>
      </c>
      <c r="T66" s="478"/>
      <c r="U66" s="477"/>
      <c r="V66" s="477"/>
      <c r="W66" s="45"/>
    </row>
    <row r="67" spans="1:23" ht="11.25">
      <c r="A67" s="475">
        <v>13</v>
      </c>
      <c r="B67" s="494" t="str">
        <f>'Bieu 3'!B62</f>
        <v>Xã Nhân Đạo</v>
      </c>
      <c r="C67" s="473"/>
      <c r="D67" s="477"/>
      <c r="E67" s="477"/>
      <c r="F67" s="477"/>
      <c r="G67" s="477"/>
      <c r="H67" s="473"/>
      <c r="I67" s="477"/>
      <c r="J67" s="477"/>
      <c r="K67" s="477"/>
      <c r="L67" s="477"/>
      <c r="M67" s="473"/>
      <c r="N67" s="477"/>
      <c r="O67" s="477"/>
      <c r="P67" s="477"/>
      <c r="Q67" s="477"/>
      <c r="R67" s="473"/>
      <c r="S67" s="477">
        <f>'Bieu 3'!S62</f>
        <v>200</v>
      </c>
      <c r="T67" s="478"/>
      <c r="U67" s="477"/>
      <c r="V67" s="477"/>
      <c r="W67" s="45"/>
    </row>
    <row r="68" spans="1:23" ht="11.25">
      <c r="A68" s="471">
        <v>2</v>
      </c>
      <c r="B68" s="509" t="s">
        <v>202</v>
      </c>
      <c r="C68" s="473"/>
      <c r="D68" s="477"/>
      <c r="E68" s="477"/>
      <c r="F68" s="477"/>
      <c r="G68" s="477"/>
      <c r="H68" s="473"/>
      <c r="I68" s="477"/>
      <c r="J68" s="477"/>
      <c r="K68" s="473">
        <v>280</v>
      </c>
      <c r="L68" s="477"/>
      <c r="M68" s="473">
        <f>P68</f>
        <v>280</v>
      </c>
      <c r="N68" s="477"/>
      <c r="O68" s="477"/>
      <c r="P68" s="473">
        <v>280</v>
      </c>
      <c r="Q68" s="477"/>
      <c r="R68" s="473"/>
      <c r="S68" s="477"/>
      <c r="T68" s="478"/>
      <c r="U68" s="477"/>
      <c r="V68" s="477"/>
      <c r="W68" s="45"/>
    </row>
    <row r="69" spans="1:23" ht="11.25">
      <c r="A69" s="471">
        <v>3</v>
      </c>
      <c r="B69" s="472" t="s">
        <v>206</v>
      </c>
      <c r="C69" s="473"/>
      <c r="D69" s="473"/>
      <c r="E69" s="473"/>
      <c r="F69" s="477"/>
      <c r="G69" s="477">
        <v>4945</v>
      </c>
      <c r="H69" s="473">
        <f>J69</f>
        <v>3500</v>
      </c>
      <c r="I69" s="473"/>
      <c r="J69" s="473">
        <v>3500</v>
      </c>
      <c r="K69" s="477"/>
      <c r="L69" s="473"/>
      <c r="M69" s="473">
        <f>O69</f>
        <v>3500</v>
      </c>
      <c r="N69" s="473"/>
      <c r="O69" s="473">
        <f>J69</f>
        <v>3500</v>
      </c>
      <c r="P69" s="477"/>
      <c r="Q69" s="473"/>
      <c r="R69" s="473"/>
      <c r="S69" s="473"/>
      <c r="T69" s="473">
        <f>'Bieu 3'!S93</f>
        <v>4264</v>
      </c>
      <c r="U69" s="473"/>
      <c r="V69" s="477"/>
      <c r="W69" s="45" t="s">
        <v>227</v>
      </c>
    </row>
    <row r="70" spans="1:23" s="85" customFormat="1" ht="10.5">
      <c r="A70" s="467" t="s">
        <v>43</v>
      </c>
      <c r="B70" s="468" t="s">
        <v>207</v>
      </c>
      <c r="C70" s="495"/>
      <c r="D70" s="495"/>
      <c r="E70" s="495"/>
      <c r="F70" s="495"/>
      <c r="G70" s="495">
        <f>SUM(G71:G76)</f>
        <v>4646</v>
      </c>
      <c r="H70" s="495">
        <f>L70+K70</f>
        <v>2360</v>
      </c>
      <c r="I70" s="495"/>
      <c r="J70" s="495"/>
      <c r="K70" s="495">
        <f>K71+K72+K73+K75</f>
        <v>360</v>
      </c>
      <c r="L70" s="495">
        <f>SUM(L71:L76)</f>
        <v>2000</v>
      </c>
      <c r="M70" s="495"/>
      <c r="N70" s="495"/>
      <c r="O70" s="495"/>
      <c r="P70" s="495">
        <f>P71+P72+P73+P74+P75</f>
        <v>360</v>
      </c>
      <c r="Q70" s="495">
        <f>Q71+Q72+Q73+Q74+Q75+Q76</f>
        <v>2000</v>
      </c>
      <c r="R70" s="495"/>
      <c r="S70" s="495"/>
      <c r="T70" s="496"/>
      <c r="U70" s="495">
        <f>U71+U72+U73+U74+U75+U76</f>
        <v>400</v>
      </c>
      <c r="V70" s="495">
        <f>SUM(V71:V76)</f>
        <v>7938.5</v>
      </c>
      <c r="W70" s="497"/>
    </row>
    <row r="71" spans="1:23" ht="11.25">
      <c r="A71" s="471">
        <v>1</v>
      </c>
      <c r="B71" s="476" t="s">
        <v>208</v>
      </c>
      <c r="C71" s="473"/>
      <c r="D71" s="473"/>
      <c r="E71" s="473"/>
      <c r="F71" s="477"/>
      <c r="G71" s="477">
        <v>1689</v>
      </c>
      <c r="H71" s="473"/>
      <c r="I71" s="473"/>
      <c r="J71" s="473"/>
      <c r="K71" s="477">
        <v>120</v>
      </c>
      <c r="L71" s="477">
        <f>438+497.268</f>
        <v>935.268</v>
      </c>
      <c r="M71" s="473"/>
      <c r="N71" s="473"/>
      <c r="O71" s="473"/>
      <c r="P71" s="477">
        <v>120</v>
      </c>
      <c r="Q71" s="477">
        <f>L71</f>
        <v>935.268</v>
      </c>
      <c r="R71" s="473"/>
      <c r="S71" s="473"/>
      <c r="T71" s="498"/>
      <c r="U71" s="477">
        <f>150</f>
        <v>150</v>
      </c>
      <c r="V71" s="477">
        <f>846.34+1000</f>
        <v>1846.3400000000001</v>
      </c>
      <c r="W71" s="45" t="s">
        <v>225</v>
      </c>
    </row>
    <row r="72" spans="1:23" ht="11.25">
      <c r="A72" s="471">
        <v>2</v>
      </c>
      <c r="B72" s="476" t="s">
        <v>209</v>
      </c>
      <c r="C72" s="473"/>
      <c r="D72" s="477"/>
      <c r="E72" s="477"/>
      <c r="F72" s="477"/>
      <c r="G72" s="477">
        <v>1778</v>
      </c>
      <c r="H72" s="473"/>
      <c r="I72" s="477"/>
      <c r="J72" s="477"/>
      <c r="K72" s="477"/>
      <c r="L72" s="477">
        <v>344.32</v>
      </c>
      <c r="M72" s="473"/>
      <c r="N72" s="477"/>
      <c r="O72" s="477"/>
      <c r="P72" s="477"/>
      <c r="Q72" s="477">
        <f>L72</f>
        <v>344.32</v>
      </c>
      <c r="R72" s="473"/>
      <c r="S72" s="477"/>
      <c r="T72" s="478"/>
      <c r="U72" s="477">
        <v>150</v>
      </c>
      <c r="V72" s="477">
        <v>686.77</v>
      </c>
      <c r="W72" s="45" t="s">
        <v>227</v>
      </c>
    </row>
    <row r="73" spans="1:23" ht="11.25">
      <c r="A73" s="471">
        <v>3</v>
      </c>
      <c r="B73" s="476" t="s">
        <v>210</v>
      </c>
      <c r="C73" s="473"/>
      <c r="D73" s="477"/>
      <c r="E73" s="477"/>
      <c r="F73" s="477"/>
      <c r="G73" s="477">
        <v>979</v>
      </c>
      <c r="H73" s="473"/>
      <c r="I73" s="477"/>
      <c r="J73" s="477"/>
      <c r="K73" s="477"/>
      <c r="L73" s="477">
        <f>157.68+362.732</f>
        <v>520.412</v>
      </c>
      <c r="M73" s="473"/>
      <c r="N73" s="477"/>
      <c r="O73" s="477"/>
      <c r="P73" s="477"/>
      <c r="Q73" s="477">
        <f>L73</f>
        <v>520.412</v>
      </c>
      <c r="R73" s="473"/>
      <c r="S73" s="477"/>
      <c r="T73" s="478"/>
      <c r="U73" s="477">
        <v>100</v>
      </c>
      <c r="V73" s="477">
        <f>405.39+3800</f>
        <v>4205.39</v>
      </c>
      <c r="W73" s="45" t="s">
        <v>225</v>
      </c>
    </row>
    <row r="74" spans="1:23" ht="11.25">
      <c r="A74" s="471">
        <v>4</v>
      </c>
      <c r="B74" s="476" t="s">
        <v>211</v>
      </c>
      <c r="C74" s="473"/>
      <c r="D74" s="477"/>
      <c r="E74" s="477"/>
      <c r="F74" s="477"/>
      <c r="G74" s="477"/>
      <c r="H74" s="473"/>
      <c r="I74" s="477"/>
      <c r="J74" s="477"/>
      <c r="K74" s="477"/>
      <c r="L74" s="477"/>
      <c r="M74" s="473"/>
      <c r="N74" s="477"/>
      <c r="O74" s="477"/>
      <c r="P74" s="499"/>
      <c r="Q74" s="477"/>
      <c r="R74" s="473"/>
      <c r="S74" s="477"/>
      <c r="T74" s="478"/>
      <c r="U74" s="477"/>
      <c r="V74" s="477"/>
      <c r="W74" s="45"/>
    </row>
    <row r="75" spans="1:23" ht="11.25" customHeight="1">
      <c r="A75" s="471">
        <v>5</v>
      </c>
      <c r="B75" s="476" t="s">
        <v>230</v>
      </c>
      <c r="C75" s="473"/>
      <c r="D75" s="473"/>
      <c r="E75" s="473"/>
      <c r="F75" s="477"/>
      <c r="G75" s="477"/>
      <c r="H75" s="473"/>
      <c r="I75" s="473"/>
      <c r="J75" s="473"/>
      <c r="K75" s="477">
        <v>240</v>
      </c>
      <c r="L75" s="473"/>
      <c r="M75" s="473"/>
      <c r="N75" s="473"/>
      <c r="O75" s="473"/>
      <c r="P75" s="477">
        <v>240</v>
      </c>
      <c r="Q75" s="473"/>
      <c r="R75" s="473"/>
      <c r="S75" s="473"/>
      <c r="T75" s="498"/>
      <c r="U75" s="473"/>
      <c r="V75" s="473"/>
      <c r="W75" s="45" t="s">
        <v>226</v>
      </c>
    </row>
    <row r="76" spans="1:23" ht="11.25">
      <c r="A76" s="500">
        <v>6</v>
      </c>
      <c r="B76" s="501" t="s">
        <v>317</v>
      </c>
      <c r="C76" s="502"/>
      <c r="D76" s="502"/>
      <c r="E76" s="502"/>
      <c r="F76" s="502"/>
      <c r="G76" s="86">
        <v>200</v>
      </c>
      <c r="H76" s="86"/>
      <c r="I76" s="86"/>
      <c r="J76" s="86"/>
      <c r="K76" s="86"/>
      <c r="L76" s="503">
        <v>200</v>
      </c>
      <c r="M76" s="504"/>
      <c r="N76" s="504"/>
      <c r="O76" s="504"/>
      <c r="P76" s="505"/>
      <c r="Q76" s="505">
        <v>200</v>
      </c>
      <c r="R76" s="505"/>
      <c r="S76" s="505"/>
      <c r="T76" s="505"/>
      <c r="U76" s="505"/>
      <c r="V76" s="506">
        <f>200+1000</f>
        <v>1200</v>
      </c>
      <c r="W76" s="502" t="s">
        <v>227</v>
      </c>
    </row>
    <row r="79" spans="20:23" ht="18" customHeight="1">
      <c r="T79" s="59"/>
      <c r="W79" s="22"/>
    </row>
    <row r="80" spans="20:23" ht="18" customHeight="1">
      <c r="T80" s="59"/>
      <c r="W80" s="22"/>
    </row>
    <row r="81" spans="20:23" ht="18" customHeight="1">
      <c r="T81" s="59"/>
      <c r="W81" s="22"/>
    </row>
    <row r="95" ht="18" customHeight="1">
      <c r="T95" s="101"/>
    </row>
  </sheetData>
  <sheetProtection/>
  <mergeCells count="27">
    <mergeCell ref="S6:V6"/>
    <mergeCell ref="P7:Q7"/>
    <mergeCell ref="S7:T7"/>
    <mergeCell ref="I6:L6"/>
    <mergeCell ref="I7:J7"/>
    <mergeCell ref="K7:L7"/>
    <mergeCell ref="N7:O7"/>
    <mergeCell ref="A3:W3"/>
    <mergeCell ref="F7:G7"/>
    <mergeCell ref="D7:E7"/>
    <mergeCell ref="W5:W8"/>
    <mergeCell ref="M5:Q5"/>
    <mergeCell ref="R5:V5"/>
    <mergeCell ref="M6:M8"/>
    <mergeCell ref="N6:Q6"/>
    <mergeCell ref="H5:L5"/>
    <mergeCell ref="R6:R8"/>
    <mergeCell ref="C21:V21"/>
    <mergeCell ref="A1:W1"/>
    <mergeCell ref="U7:V7"/>
    <mergeCell ref="C6:C8"/>
    <mergeCell ref="D6:G6"/>
    <mergeCell ref="H6:H8"/>
    <mergeCell ref="A2:W2"/>
    <mergeCell ref="A5:A8"/>
    <mergeCell ref="B5:B8"/>
    <mergeCell ref="C5:G5"/>
  </mergeCells>
  <printOptions/>
  <pageMargins left="0.2" right="0.2" top="0.29" bottom="0.25" header="0.3" footer="0.21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2" sqref="A2:J2"/>
    </sheetView>
  </sheetViews>
  <sheetFormatPr defaultColWidth="9.140625" defaultRowHeight="12.75"/>
  <cols>
    <col min="1" max="1" width="5.28125" style="202" customWidth="1"/>
    <col min="2" max="2" width="34.8515625" style="201" customWidth="1"/>
    <col min="3" max="3" width="13.57421875" style="203" customWidth="1"/>
    <col min="4" max="4" width="13.28125" style="203" customWidth="1"/>
    <col min="5" max="5" width="17.00390625" style="201" customWidth="1"/>
    <col min="6" max="6" width="16.421875" style="201" customWidth="1"/>
    <col min="7" max="9" width="10.7109375" style="201" customWidth="1"/>
    <col min="10" max="10" width="12.28125" style="201" customWidth="1"/>
    <col min="11" max="12" width="9.8515625" style="201" bestFit="1" customWidth="1"/>
    <col min="13" max="13" width="37.7109375" style="201" bestFit="1" customWidth="1"/>
    <col min="14" max="14" width="11.28125" style="201" bestFit="1" customWidth="1"/>
    <col min="15" max="16384" width="9.140625" style="201" customWidth="1"/>
  </cols>
  <sheetData>
    <row r="1" spans="1:10" ht="15.75">
      <c r="A1" s="583" t="s">
        <v>812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5.75">
      <c r="A2" s="591" t="s">
        <v>850</v>
      </c>
      <c r="B2" s="591"/>
      <c r="C2" s="591"/>
      <c r="D2" s="591"/>
      <c r="E2" s="591"/>
      <c r="F2" s="591"/>
      <c r="G2" s="591"/>
      <c r="H2" s="591"/>
      <c r="I2" s="591"/>
      <c r="J2" s="591"/>
    </row>
    <row r="3" spans="1:10" s="421" customFormat="1" ht="16.5" customHeight="1">
      <c r="A3" s="576" t="s">
        <v>264</v>
      </c>
      <c r="B3" s="584" t="s">
        <v>93</v>
      </c>
      <c r="C3" s="578" t="s">
        <v>234</v>
      </c>
      <c r="D3" s="578"/>
      <c r="E3" s="578"/>
      <c r="F3" s="578"/>
      <c r="G3" s="584" t="s">
        <v>244</v>
      </c>
      <c r="H3" s="584" t="s">
        <v>321</v>
      </c>
      <c r="I3" s="584" t="s">
        <v>322</v>
      </c>
      <c r="J3" s="586" t="s">
        <v>323</v>
      </c>
    </row>
    <row r="4" spans="1:10" s="421" customFormat="1" ht="25.5">
      <c r="A4" s="577"/>
      <c r="B4" s="585"/>
      <c r="C4" s="542" t="s">
        <v>324</v>
      </c>
      <c r="D4" s="542" t="s">
        <v>325</v>
      </c>
      <c r="E4" s="542" t="s">
        <v>326</v>
      </c>
      <c r="F4" s="542" t="s">
        <v>100</v>
      </c>
      <c r="G4" s="585"/>
      <c r="H4" s="585"/>
      <c r="I4" s="585"/>
      <c r="J4" s="575"/>
    </row>
    <row r="5" spans="1:10" s="415" customFormat="1" ht="16.5" customHeight="1">
      <c r="A5" s="544" t="s">
        <v>105</v>
      </c>
      <c r="B5" s="545" t="s">
        <v>194</v>
      </c>
      <c r="C5" s="546">
        <f>C6+C8+C10</f>
        <v>210168.91749999998</v>
      </c>
      <c r="D5" s="546"/>
      <c r="E5" s="547"/>
      <c r="F5" s="545">
        <f>F6+F8+F10</f>
        <v>210168.91749999998</v>
      </c>
      <c r="G5" s="545">
        <f>G6+G8+G10</f>
        <v>149500</v>
      </c>
      <c r="H5" s="545">
        <f>H6+H8+H10</f>
        <v>149500</v>
      </c>
      <c r="I5" s="545">
        <f>I6+I8+I10</f>
        <v>65000</v>
      </c>
      <c r="J5" s="543">
        <f>SUM(F5:I5)</f>
        <v>574168.9175</v>
      </c>
    </row>
    <row r="6" spans="1:10" s="415" customFormat="1" ht="16.5" customHeight="1">
      <c r="A6" s="548">
        <v>1</v>
      </c>
      <c r="B6" s="549" t="s">
        <v>1</v>
      </c>
      <c r="C6" s="546">
        <f>C7</f>
        <v>204742.0115</v>
      </c>
      <c r="D6" s="550"/>
      <c r="E6" s="551"/>
      <c r="F6" s="545">
        <f>SUM(C6:E6)</f>
        <v>204742.0115</v>
      </c>
      <c r="G6" s="552">
        <v>146000</v>
      </c>
      <c r="H6" s="552">
        <f>G6</f>
        <v>146000</v>
      </c>
      <c r="I6" s="552">
        <v>63000</v>
      </c>
      <c r="J6" s="553"/>
    </row>
    <row r="7" spans="1:10" s="415" customFormat="1" ht="16.5" customHeight="1">
      <c r="A7" s="548"/>
      <c r="B7" s="554" t="s">
        <v>327</v>
      </c>
      <c r="C7" s="550">
        <f>'Bieu 3'!S9</f>
        <v>204742.0115</v>
      </c>
      <c r="D7" s="550"/>
      <c r="E7" s="551"/>
      <c r="F7" s="554">
        <f>SUM(C7:E7)</f>
        <v>204742.0115</v>
      </c>
      <c r="G7" s="555"/>
      <c r="H7" s="555"/>
      <c r="I7" s="555"/>
      <c r="J7" s="553"/>
    </row>
    <row r="8" spans="1:14" s="415" customFormat="1" ht="16.5" customHeight="1">
      <c r="A8" s="548">
        <v>2</v>
      </c>
      <c r="B8" s="549" t="s">
        <v>328</v>
      </c>
      <c r="C8" s="546">
        <f>+C9</f>
        <v>5426.906</v>
      </c>
      <c r="D8" s="546"/>
      <c r="E8" s="555"/>
      <c r="F8" s="545">
        <f>F9</f>
        <v>5426.906</v>
      </c>
      <c r="G8" s="545">
        <f>G9</f>
        <v>3500</v>
      </c>
      <c r="H8" s="545">
        <f>H9</f>
        <v>3500</v>
      </c>
      <c r="I8" s="545">
        <f>I9</f>
        <v>2000</v>
      </c>
      <c r="J8" s="553"/>
      <c r="M8" s="416" t="s">
        <v>403</v>
      </c>
      <c r="N8" s="417">
        <v>627749</v>
      </c>
    </row>
    <row r="9" spans="1:14" s="415" customFormat="1" ht="16.5" customHeight="1">
      <c r="A9" s="548"/>
      <c r="B9" s="554" t="s">
        <v>329</v>
      </c>
      <c r="C9" s="550">
        <f>'Bieu 3'!S73</f>
        <v>5426.906</v>
      </c>
      <c r="D9" s="550"/>
      <c r="E9" s="555"/>
      <c r="F9" s="554">
        <f>SUM(C9:E9)</f>
        <v>5426.906</v>
      </c>
      <c r="G9" s="555">
        <v>3500</v>
      </c>
      <c r="H9" s="555">
        <v>3500</v>
      </c>
      <c r="I9" s="555">
        <v>2000</v>
      </c>
      <c r="J9" s="553"/>
      <c r="M9" s="416" t="s">
        <v>404</v>
      </c>
      <c r="N9" s="418">
        <v>33677</v>
      </c>
    </row>
    <row r="10" spans="1:14" s="415" customFormat="1" ht="16.5" customHeight="1">
      <c r="A10" s="548">
        <v>3</v>
      </c>
      <c r="B10" s="549" t="s">
        <v>330</v>
      </c>
      <c r="C10" s="546"/>
      <c r="D10" s="550"/>
      <c r="E10" s="554"/>
      <c r="F10" s="545"/>
      <c r="G10" s="545"/>
      <c r="H10" s="545"/>
      <c r="I10" s="545"/>
      <c r="J10" s="553"/>
      <c r="M10" s="416" t="s">
        <v>405</v>
      </c>
      <c r="N10" s="418">
        <v>30155</v>
      </c>
    </row>
    <row r="11" spans="1:14" s="415" customFormat="1" ht="16.5" customHeight="1">
      <c r="A11" s="556"/>
      <c r="B11" s="554" t="s">
        <v>329</v>
      </c>
      <c r="C11" s="550"/>
      <c r="D11" s="550"/>
      <c r="E11" s="554"/>
      <c r="F11" s="554"/>
      <c r="G11" s="555"/>
      <c r="H11" s="555"/>
      <c r="I11" s="555"/>
      <c r="J11" s="553"/>
      <c r="M11" s="416" t="s">
        <v>406</v>
      </c>
      <c r="N11" s="419">
        <f>N8+N9+N10</f>
        <v>691581</v>
      </c>
    </row>
    <row r="12" spans="1:14" s="415" customFormat="1" ht="16.5" customHeight="1">
      <c r="A12" s="556"/>
      <c r="B12" s="557" t="s">
        <v>202</v>
      </c>
      <c r="C12" s="550"/>
      <c r="D12" s="550"/>
      <c r="E12" s="554"/>
      <c r="F12" s="554"/>
      <c r="G12" s="555"/>
      <c r="H12" s="555"/>
      <c r="I12" s="555"/>
      <c r="J12" s="553"/>
      <c r="M12" s="416" t="s">
        <v>407</v>
      </c>
      <c r="N12" s="420">
        <v>779581</v>
      </c>
    </row>
    <row r="13" spans="1:10" s="415" customFormat="1" ht="16.5" customHeight="1">
      <c r="A13" s="556"/>
      <c r="B13" s="554" t="s">
        <v>329</v>
      </c>
      <c r="C13" s="550"/>
      <c r="D13" s="550"/>
      <c r="E13" s="554"/>
      <c r="F13" s="554"/>
      <c r="G13" s="555"/>
      <c r="H13" s="555"/>
      <c r="I13" s="555"/>
      <c r="J13" s="553"/>
    </row>
    <row r="14" spans="1:10" s="415" customFormat="1" ht="16.5" customHeight="1">
      <c r="A14" s="544" t="s">
        <v>151</v>
      </c>
      <c r="B14" s="545" t="s">
        <v>203</v>
      </c>
      <c r="C14" s="546"/>
      <c r="D14" s="546">
        <f>+D15+D17</f>
        <v>5864</v>
      </c>
      <c r="E14" s="545"/>
      <c r="F14" s="545">
        <f>SUM(C14:E14)</f>
        <v>5864</v>
      </c>
      <c r="G14" s="552">
        <f>G15+G17</f>
        <v>6900</v>
      </c>
      <c r="H14" s="552">
        <f>H15+H17</f>
        <v>6900</v>
      </c>
      <c r="I14" s="552">
        <f>I15+I17</f>
        <v>6600</v>
      </c>
      <c r="J14" s="543">
        <f>SUM(F14:I14)</f>
        <v>26264</v>
      </c>
    </row>
    <row r="15" spans="1:10" s="415" customFormat="1" ht="16.5" customHeight="1">
      <c r="A15" s="556">
        <v>1</v>
      </c>
      <c r="B15" s="549" t="s">
        <v>331</v>
      </c>
      <c r="C15" s="550"/>
      <c r="D15" s="546">
        <f>+D16</f>
        <v>1600</v>
      </c>
      <c r="E15" s="554"/>
      <c r="F15" s="545">
        <f>F16</f>
        <v>1600</v>
      </c>
      <c r="G15" s="545">
        <f>G16</f>
        <v>1500</v>
      </c>
      <c r="H15" s="545">
        <f>H16</f>
        <v>1500</v>
      </c>
      <c r="I15" s="545">
        <f>I16</f>
        <v>1200</v>
      </c>
      <c r="J15" s="543"/>
    </row>
    <row r="16" spans="1:10" s="415" customFormat="1" ht="16.5" customHeight="1">
      <c r="A16" s="556"/>
      <c r="B16" s="554" t="s">
        <v>329</v>
      </c>
      <c r="C16" s="550"/>
      <c r="D16" s="550">
        <f>'Bieu 3'!S57</f>
        <v>1600</v>
      </c>
      <c r="E16" s="554"/>
      <c r="F16" s="554">
        <f>SUM(C16:E16)</f>
        <v>1600</v>
      </c>
      <c r="G16" s="555">
        <v>1500</v>
      </c>
      <c r="H16" s="555">
        <v>1500</v>
      </c>
      <c r="I16" s="555">
        <v>1200</v>
      </c>
      <c r="J16" s="553"/>
    </row>
    <row r="17" spans="1:10" s="415" customFormat="1" ht="16.5" customHeight="1">
      <c r="A17" s="556">
        <v>2</v>
      </c>
      <c r="B17" s="549" t="s">
        <v>206</v>
      </c>
      <c r="C17" s="550"/>
      <c r="D17" s="546">
        <f>+D18</f>
        <v>4264</v>
      </c>
      <c r="E17" s="554"/>
      <c r="F17" s="545">
        <f>F18</f>
        <v>4264</v>
      </c>
      <c r="G17" s="545">
        <f>G18</f>
        <v>5400</v>
      </c>
      <c r="H17" s="545">
        <f>H18</f>
        <v>5400</v>
      </c>
      <c r="I17" s="545">
        <f>I18</f>
        <v>5400</v>
      </c>
      <c r="J17" s="543"/>
    </row>
    <row r="18" spans="1:10" s="415" customFormat="1" ht="16.5" customHeight="1">
      <c r="A18" s="556"/>
      <c r="B18" s="554" t="s">
        <v>329</v>
      </c>
      <c r="C18" s="550"/>
      <c r="D18" s="550">
        <f>'Bieu 3'!S95</f>
        <v>4264</v>
      </c>
      <c r="E18" s="554"/>
      <c r="F18" s="554">
        <f aca="true" t="shared" si="0" ref="F18:F26">SUM(C18:E18)</f>
        <v>4264</v>
      </c>
      <c r="G18" s="555">
        <v>5400</v>
      </c>
      <c r="H18" s="555">
        <f>G18</f>
        <v>5400</v>
      </c>
      <c r="I18" s="555">
        <f>H18</f>
        <v>5400</v>
      </c>
      <c r="J18" s="553"/>
    </row>
    <row r="19" spans="1:10" s="415" customFormat="1" ht="16.5" customHeight="1">
      <c r="A19" s="544" t="s">
        <v>158</v>
      </c>
      <c r="B19" s="545" t="s">
        <v>207</v>
      </c>
      <c r="C19" s="546">
        <f>SUM(C20:C28)</f>
        <v>4846.34</v>
      </c>
      <c r="D19" s="546">
        <f>SUM(D20:D28)</f>
        <v>3493.16</v>
      </c>
      <c r="E19" s="545"/>
      <c r="F19" s="545">
        <f t="shared" si="0"/>
        <v>8339.5</v>
      </c>
      <c r="G19" s="555">
        <f>F19*0.5</f>
        <v>4169.75</v>
      </c>
      <c r="H19" s="555">
        <f>G19</f>
        <v>4169.75</v>
      </c>
      <c r="I19" s="555">
        <f>H19</f>
        <v>4169.75</v>
      </c>
      <c r="J19" s="543">
        <f>SUM(F19:I19)</f>
        <v>20848.75</v>
      </c>
    </row>
    <row r="20" spans="1:10" s="415" customFormat="1" ht="16.5" customHeight="1">
      <c r="A20" s="556">
        <v>1</v>
      </c>
      <c r="B20" s="554" t="s">
        <v>208</v>
      </c>
      <c r="C20" s="558">
        <v>846.34</v>
      </c>
      <c r="D20" s="550">
        <v>1150</v>
      </c>
      <c r="E20" s="554"/>
      <c r="F20" s="554">
        <f t="shared" si="0"/>
        <v>1996.3400000000001</v>
      </c>
      <c r="G20" s="555"/>
      <c r="H20" s="555"/>
      <c r="I20" s="555"/>
      <c r="J20" s="553"/>
    </row>
    <row r="21" spans="1:10" s="415" customFormat="1" ht="16.5" customHeight="1">
      <c r="A21" s="556">
        <v>2</v>
      </c>
      <c r="B21" s="559" t="s">
        <v>332</v>
      </c>
      <c r="C21" s="550"/>
      <c r="D21" s="558">
        <f>687.77+150</f>
        <v>837.77</v>
      </c>
      <c r="E21" s="554"/>
      <c r="F21" s="554">
        <f t="shared" si="0"/>
        <v>837.77</v>
      </c>
      <c r="G21" s="555"/>
      <c r="H21" s="555"/>
      <c r="I21" s="555"/>
      <c r="J21" s="553"/>
    </row>
    <row r="22" spans="1:10" s="415" customFormat="1" ht="25.5">
      <c r="A22" s="556">
        <v>3</v>
      </c>
      <c r="B22" s="559" t="s">
        <v>333</v>
      </c>
      <c r="C22" s="550">
        <v>3800</v>
      </c>
      <c r="D22" s="558">
        <v>505.39</v>
      </c>
      <c r="E22" s="554"/>
      <c r="F22" s="554">
        <f t="shared" si="0"/>
        <v>4305.39</v>
      </c>
      <c r="G22" s="555"/>
      <c r="H22" s="555"/>
      <c r="I22" s="555"/>
      <c r="J22" s="553"/>
    </row>
    <row r="23" spans="1:10" s="415" customFormat="1" ht="16.5" customHeight="1">
      <c r="A23" s="556">
        <v>4</v>
      </c>
      <c r="B23" s="559" t="s">
        <v>334</v>
      </c>
      <c r="C23" s="550"/>
      <c r="D23" s="560"/>
      <c r="E23" s="554"/>
      <c r="F23" s="554"/>
      <c r="G23" s="555"/>
      <c r="H23" s="555"/>
      <c r="I23" s="555"/>
      <c r="J23" s="553"/>
    </row>
    <row r="24" spans="1:10" s="415" customFormat="1" ht="16.5" customHeight="1">
      <c r="A24" s="556">
        <v>5</v>
      </c>
      <c r="B24" s="559" t="s">
        <v>335</v>
      </c>
      <c r="C24" s="550"/>
      <c r="D24" s="550"/>
      <c r="E24" s="554"/>
      <c r="F24" s="554"/>
      <c r="G24" s="555"/>
      <c r="H24" s="555"/>
      <c r="I24" s="555"/>
      <c r="J24" s="553"/>
    </row>
    <row r="25" spans="1:10" s="415" customFormat="1" ht="16.5" customHeight="1">
      <c r="A25" s="556">
        <v>6</v>
      </c>
      <c r="B25" s="559" t="s">
        <v>336</v>
      </c>
      <c r="C25" s="550"/>
      <c r="D25" s="550"/>
      <c r="E25" s="554"/>
      <c r="F25" s="554"/>
      <c r="G25" s="555"/>
      <c r="H25" s="555"/>
      <c r="I25" s="555"/>
      <c r="J25" s="553"/>
    </row>
    <row r="26" spans="1:10" s="415" customFormat="1" ht="16.5" customHeight="1">
      <c r="A26" s="556">
        <v>7</v>
      </c>
      <c r="B26" s="554" t="s">
        <v>337</v>
      </c>
      <c r="C26" s="550">
        <v>200</v>
      </c>
      <c r="D26" s="550">
        <v>1000</v>
      </c>
      <c r="E26" s="554"/>
      <c r="F26" s="554">
        <f t="shared" si="0"/>
        <v>1200</v>
      </c>
      <c r="G26" s="555"/>
      <c r="H26" s="555"/>
      <c r="I26" s="555"/>
      <c r="J26" s="553"/>
    </row>
    <row r="27" spans="1:10" s="415" customFormat="1" ht="16.5" customHeight="1">
      <c r="A27" s="556">
        <v>8</v>
      </c>
      <c r="B27" s="554" t="s">
        <v>338</v>
      </c>
      <c r="C27" s="550"/>
      <c r="D27" s="550"/>
      <c r="E27" s="551"/>
      <c r="F27" s="554"/>
      <c r="G27" s="555"/>
      <c r="H27" s="555"/>
      <c r="I27" s="555"/>
      <c r="J27" s="553"/>
    </row>
    <row r="28" spans="1:10" s="415" customFormat="1" ht="16.5" customHeight="1">
      <c r="A28" s="556">
        <v>9</v>
      </c>
      <c r="B28" s="554" t="s">
        <v>339</v>
      </c>
      <c r="C28" s="550"/>
      <c r="D28" s="550"/>
      <c r="E28" s="554"/>
      <c r="F28" s="554"/>
      <c r="G28" s="555"/>
      <c r="H28" s="555"/>
      <c r="I28" s="555"/>
      <c r="J28" s="553"/>
    </row>
    <row r="29" spans="1:10" s="415" customFormat="1" ht="16.5" customHeight="1">
      <c r="A29" s="561"/>
      <c r="B29" s="562" t="s">
        <v>340</v>
      </c>
      <c r="C29" s="563">
        <f aca="true" t="shared" si="1" ref="C29:J29">C5+C14+C19</f>
        <v>215015.25749999998</v>
      </c>
      <c r="D29" s="563">
        <f t="shared" si="1"/>
        <v>9357.16</v>
      </c>
      <c r="E29" s="563"/>
      <c r="F29" s="564">
        <f t="shared" si="1"/>
        <v>224372.41749999998</v>
      </c>
      <c r="G29" s="563">
        <f>G5+G14+G19</f>
        <v>160569.75</v>
      </c>
      <c r="H29" s="563">
        <f>H5+H14+H19</f>
        <v>160569.75</v>
      </c>
      <c r="I29" s="563">
        <f t="shared" si="1"/>
        <v>75769.75</v>
      </c>
      <c r="J29" s="565">
        <f t="shared" si="1"/>
        <v>621281.6675</v>
      </c>
    </row>
    <row r="32" spans="4:5" ht="15.75">
      <c r="D32" s="590"/>
      <c r="E32" s="590"/>
    </row>
    <row r="33" ht="15.75">
      <c r="C33" s="204"/>
    </row>
  </sheetData>
  <mergeCells count="10">
    <mergeCell ref="D32:E32"/>
    <mergeCell ref="A2:J2"/>
    <mergeCell ref="A1:J1"/>
    <mergeCell ref="G3:G4"/>
    <mergeCell ref="H3:H4"/>
    <mergeCell ref="I3:I4"/>
    <mergeCell ref="J3:J4"/>
    <mergeCell ref="A3:A4"/>
    <mergeCell ref="B3:B4"/>
    <mergeCell ref="C3:F3"/>
  </mergeCells>
  <printOptions/>
  <pageMargins left="0.25" right="0.27" top="0.51" bottom="0.49" header="0.2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1">
      <selection activeCell="A2" sqref="A2:C2"/>
    </sheetView>
  </sheetViews>
  <sheetFormatPr defaultColWidth="9.140625" defaultRowHeight="15" customHeight="1"/>
  <cols>
    <col min="1" max="1" width="5.7109375" style="185" customWidth="1"/>
    <col min="2" max="2" width="80.28125" style="183" customWidth="1"/>
    <col min="3" max="3" width="12.421875" style="184" customWidth="1"/>
    <col min="4" max="16384" width="9.140625" style="180" customWidth="1"/>
  </cols>
  <sheetData>
    <row r="1" spans="1:2" ht="24" customHeight="1">
      <c r="A1" s="178" t="s">
        <v>342</v>
      </c>
      <c r="B1" s="179"/>
    </row>
    <row r="2" spans="1:3" ht="18" customHeight="1">
      <c r="A2" s="653" t="s">
        <v>850</v>
      </c>
      <c r="B2" s="653"/>
      <c r="C2" s="653"/>
    </row>
    <row r="3" spans="1:3" ht="6.75" customHeight="1">
      <c r="A3" s="238"/>
      <c r="B3" s="238"/>
      <c r="C3" s="238"/>
    </row>
    <row r="4" spans="1:3" ht="24.75" customHeight="1">
      <c r="A4" s="510" t="s">
        <v>105</v>
      </c>
      <c r="B4" s="511" t="s">
        <v>343</v>
      </c>
      <c r="C4" s="512"/>
    </row>
    <row r="5" spans="1:3" s="181" customFormat="1" ht="18" customHeight="1">
      <c r="A5" s="513">
        <v>1</v>
      </c>
      <c r="B5" s="514" t="s">
        <v>344</v>
      </c>
      <c r="C5" s="515"/>
    </row>
    <row r="6" spans="1:3" ht="18" customHeight="1">
      <c r="A6" s="516"/>
      <c r="B6" s="517" t="s">
        <v>345</v>
      </c>
      <c r="C6" s="518" t="s">
        <v>448</v>
      </c>
    </row>
    <row r="7" spans="1:3" ht="18" customHeight="1">
      <c r="A7" s="516"/>
      <c r="B7" s="517" t="s">
        <v>660</v>
      </c>
      <c r="C7" s="519">
        <v>786.9</v>
      </c>
    </row>
    <row r="8" spans="1:3" ht="18" customHeight="1">
      <c r="A8" s="516"/>
      <c r="B8" s="517" t="s">
        <v>661</v>
      </c>
      <c r="C8" s="520">
        <v>846653</v>
      </c>
    </row>
    <row r="9" spans="1:3" ht="18" customHeight="1">
      <c r="A9" s="516"/>
      <c r="B9" s="517" t="s">
        <v>346</v>
      </c>
      <c r="C9" s="521" t="s">
        <v>449</v>
      </c>
    </row>
    <row r="10" spans="1:3" ht="15.75">
      <c r="A10" s="516"/>
      <c r="B10" s="517" t="s">
        <v>347</v>
      </c>
      <c r="C10" s="521">
        <v>110</v>
      </c>
    </row>
    <row r="11" spans="1:3" ht="18" customHeight="1">
      <c r="A11" s="516"/>
      <c r="B11" s="517" t="s">
        <v>348</v>
      </c>
      <c r="C11" s="520">
        <v>1</v>
      </c>
    </row>
    <row r="12" spans="1:3" ht="18" customHeight="1">
      <c r="A12" s="516"/>
      <c r="B12" s="517" t="s">
        <v>349</v>
      </c>
      <c r="C12" s="520">
        <v>225515</v>
      </c>
    </row>
    <row r="13" spans="1:3" ht="18" customHeight="1">
      <c r="A13" s="516"/>
      <c r="B13" s="517" t="s">
        <v>350</v>
      </c>
      <c r="C13" s="522">
        <v>3.34</v>
      </c>
    </row>
    <row r="14" spans="1:3" ht="18" customHeight="1">
      <c r="A14" s="516"/>
      <c r="B14" s="517" t="s">
        <v>351</v>
      </c>
      <c r="C14" s="520">
        <v>105</v>
      </c>
    </row>
    <row r="15" spans="1:3" ht="18" customHeight="1">
      <c r="A15" s="516"/>
      <c r="B15" s="517" t="s">
        <v>352</v>
      </c>
      <c r="C15" s="520">
        <v>128</v>
      </c>
    </row>
    <row r="16" spans="1:3" ht="18" customHeight="1">
      <c r="A16" s="516"/>
      <c r="B16" s="517" t="s">
        <v>353</v>
      </c>
      <c r="C16" s="520">
        <v>140</v>
      </c>
    </row>
    <row r="17" spans="1:3" ht="18" customHeight="1">
      <c r="A17" s="516"/>
      <c r="B17" s="517" t="s">
        <v>354</v>
      </c>
      <c r="C17" s="520">
        <v>114</v>
      </c>
    </row>
    <row r="18" spans="1:3" s="181" customFormat="1" ht="18" customHeight="1">
      <c r="A18" s="513">
        <v>2</v>
      </c>
      <c r="B18" s="514" t="s">
        <v>662</v>
      </c>
      <c r="C18" s="515"/>
    </row>
    <row r="19" spans="1:3" ht="18" customHeight="1">
      <c r="A19" s="516"/>
      <c r="B19" s="517" t="s">
        <v>355</v>
      </c>
      <c r="C19" s="523">
        <v>0.8</v>
      </c>
    </row>
    <row r="20" spans="1:3" ht="18" customHeight="1">
      <c r="A20" s="516"/>
      <c r="B20" s="517" t="s">
        <v>356</v>
      </c>
      <c r="C20" s="524">
        <v>35</v>
      </c>
    </row>
    <row r="21" spans="1:3" ht="18" customHeight="1">
      <c r="A21" s="516"/>
      <c r="B21" s="517" t="s">
        <v>357</v>
      </c>
      <c r="C21" s="520">
        <v>56</v>
      </c>
    </row>
    <row r="22" spans="1:3" ht="18" customHeight="1">
      <c r="A22" s="516"/>
      <c r="B22" s="517" t="s">
        <v>358</v>
      </c>
      <c r="C22" s="520">
        <v>21</v>
      </c>
    </row>
    <row r="23" spans="1:3" ht="18" customHeight="1">
      <c r="A23" s="516"/>
      <c r="B23" s="517" t="s">
        <v>359</v>
      </c>
      <c r="C23" s="520">
        <v>35</v>
      </c>
    </row>
    <row r="24" spans="1:3" ht="18" customHeight="1">
      <c r="A24" s="516"/>
      <c r="B24" s="517" t="s">
        <v>360</v>
      </c>
      <c r="C24" s="520">
        <v>56</v>
      </c>
    </row>
    <row r="25" spans="1:3" ht="18" customHeight="1">
      <c r="A25" s="516"/>
      <c r="B25" s="517" t="s">
        <v>361</v>
      </c>
      <c r="C25" s="520">
        <v>0</v>
      </c>
    </row>
    <row r="26" spans="1:3" ht="18" customHeight="1">
      <c r="A26" s="516"/>
      <c r="B26" s="517" t="s">
        <v>362</v>
      </c>
      <c r="C26" s="520">
        <v>35941</v>
      </c>
    </row>
    <row r="27" spans="1:3" ht="18" customHeight="1">
      <c r="A27" s="516"/>
      <c r="B27" s="517" t="s">
        <v>363</v>
      </c>
      <c r="C27" s="520">
        <v>5700</v>
      </c>
    </row>
    <row r="28" spans="1:3" ht="18" customHeight="1">
      <c r="A28" s="516"/>
      <c r="B28" s="517" t="s">
        <v>364</v>
      </c>
      <c r="C28" s="520">
        <v>5300</v>
      </c>
    </row>
    <row r="29" spans="1:3" ht="18" customHeight="1">
      <c r="A29" s="516"/>
      <c r="B29" s="517" t="s">
        <v>365</v>
      </c>
      <c r="C29" s="520">
        <v>0.3</v>
      </c>
    </row>
    <row r="30" spans="1:3" s="181" customFormat="1" ht="18" customHeight="1">
      <c r="A30" s="513">
        <v>3</v>
      </c>
      <c r="B30" s="514" t="s">
        <v>663</v>
      </c>
      <c r="C30" s="515"/>
    </row>
    <row r="31" spans="1:3" ht="18" customHeight="1">
      <c r="A31" s="516"/>
      <c r="B31" s="517" t="s">
        <v>366</v>
      </c>
      <c r="C31" s="521">
        <v>140645</v>
      </c>
    </row>
    <row r="32" spans="1:3" ht="18" customHeight="1">
      <c r="A32" s="516"/>
      <c r="B32" s="517" t="s">
        <v>367</v>
      </c>
      <c r="C32" s="521" t="s">
        <v>524</v>
      </c>
    </row>
    <row r="33" spans="1:3" ht="18" customHeight="1">
      <c r="A33" s="516"/>
      <c r="B33" s="517" t="s">
        <v>368</v>
      </c>
      <c r="C33" s="521">
        <v>219735</v>
      </c>
    </row>
    <row r="34" spans="1:3" ht="18" customHeight="1">
      <c r="A34" s="516"/>
      <c r="B34" s="517" t="s">
        <v>369</v>
      </c>
      <c r="C34" s="521">
        <f>C12-C33</f>
        <v>5780</v>
      </c>
    </row>
    <row r="35" spans="1:3" ht="18" customHeight="1">
      <c r="A35" s="516"/>
      <c r="B35" s="517" t="s">
        <v>370</v>
      </c>
      <c r="C35" s="521">
        <v>18</v>
      </c>
    </row>
    <row r="36" spans="1:3" ht="18" customHeight="1">
      <c r="A36" s="516"/>
      <c r="B36" s="517" t="s">
        <v>371</v>
      </c>
      <c r="C36" s="521">
        <v>357</v>
      </c>
    </row>
    <row r="37" spans="1:3" ht="18" customHeight="1">
      <c r="A37" s="516"/>
      <c r="B37" s="517" t="s">
        <v>372</v>
      </c>
      <c r="C37" s="521">
        <v>47</v>
      </c>
    </row>
    <row r="38" spans="1:3" ht="18" customHeight="1">
      <c r="A38" s="516"/>
      <c r="B38" s="517" t="s">
        <v>373</v>
      </c>
      <c r="C38" s="521">
        <v>87</v>
      </c>
    </row>
    <row r="39" spans="1:3" ht="18" customHeight="1">
      <c r="A39" s="516"/>
      <c r="B39" s="517" t="s">
        <v>374</v>
      </c>
      <c r="C39" s="521">
        <v>18</v>
      </c>
    </row>
    <row r="40" spans="1:3" s="181" customFormat="1" ht="18" customHeight="1">
      <c r="A40" s="513">
        <v>4</v>
      </c>
      <c r="B40" s="514" t="s">
        <v>664</v>
      </c>
      <c r="C40" s="515"/>
    </row>
    <row r="41" spans="1:3" ht="18" customHeight="1">
      <c r="A41" s="516"/>
      <c r="B41" s="517" t="s">
        <v>665</v>
      </c>
      <c r="C41" s="520">
        <v>26864</v>
      </c>
    </row>
    <row r="42" spans="1:3" ht="18" customHeight="1">
      <c r="A42" s="516"/>
      <c r="B42" s="517" t="s">
        <v>375</v>
      </c>
      <c r="C42" s="520">
        <v>18267</v>
      </c>
    </row>
    <row r="43" spans="1:3" ht="18" customHeight="1">
      <c r="A43" s="516"/>
      <c r="B43" s="517" t="s">
        <v>376</v>
      </c>
      <c r="C43" s="520">
        <v>16118</v>
      </c>
    </row>
    <row r="44" spans="1:3" ht="18" customHeight="1">
      <c r="A44" s="516"/>
      <c r="B44" s="517" t="s">
        <v>377</v>
      </c>
      <c r="C44" s="525"/>
    </row>
    <row r="45" spans="1:3" ht="18" customHeight="1">
      <c r="A45" s="516"/>
      <c r="B45" s="517" t="s">
        <v>378</v>
      </c>
      <c r="C45" s="571" t="s">
        <v>839</v>
      </c>
    </row>
    <row r="46" spans="1:3" ht="18" customHeight="1">
      <c r="A46" s="516"/>
      <c r="B46" s="517" t="s">
        <v>379</v>
      </c>
      <c r="C46" s="571" t="s">
        <v>839</v>
      </c>
    </row>
    <row r="47" spans="1:3" s="181" customFormat="1" ht="18" customHeight="1">
      <c r="A47" s="513">
        <v>5</v>
      </c>
      <c r="B47" s="514" t="s">
        <v>380</v>
      </c>
      <c r="C47" s="515"/>
    </row>
    <row r="48" spans="1:3" ht="18" customHeight="1">
      <c r="A48" s="516"/>
      <c r="B48" s="574" t="s">
        <v>381</v>
      </c>
      <c r="C48" s="572" t="s">
        <v>840</v>
      </c>
    </row>
    <row r="49" spans="1:3" ht="18" customHeight="1">
      <c r="A49" s="516"/>
      <c r="B49" s="574" t="s">
        <v>382</v>
      </c>
      <c r="C49" s="572" t="s">
        <v>840</v>
      </c>
    </row>
    <row r="50" spans="1:3" ht="18" customHeight="1">
      <c r="A50" s="513">
        <v>6</v>
      </c>
      <c r="B50" s="514" t="s">
        <v>383</v>
      </c>
      <c r="C50" s="520"/>
    </row>
    <row r="51" spans="1:3" ht="18" customHeight="1">
      <c r="A51" s="516"/>
      <c r="B51" s="517" t="s">
        <v>384</v>
      </c>
      <c r="C51" s="526" t="s">
        <v>668</v>
      </c>
    </row>
    <row r="52" spans="1:3" ht="18" customHeight="1">
      <c r="A52" s="527" t="s">
        <v>151</v>
      </c>
      <c r="B52" s="528" t="s">
        <v>385</v>
      </c>
      <c r="C52" s="529"/>
    </row>
    <row r="53" spans="1:3" s="181" customFormat="1" ht="18" customHeight="1">
      <c r="A53" s="513">
        <v>1</v>
      </c>
      <c r="B53" s="514" t="s">
        <v>386</v>
      </c>
      <c r="C53" s="515"/>
    </row>
    <row r="54" spans="1:3" ht="18" customHeight="1">
      <c r="A54" s="516"/>
      <c r="B54" s="517" t="s">
        <v>387</v>
      </c>
      <c r="C54" s="520">
        <v>10</v>
      </c>
    </row>
    <row r="55" spans="1:3" ht="18" customHeight="1">
      <c r="A55" s="516"/>
      <c r="B55" s="517" t="s">
        <v>388</v>
      </c>
      <c r="C55" s="520">
        <v>30</v>
      </c>
    </row>
    <row r="56" spans="1:3" ht="18" customHeight="1">
      <c r="A56" s="516"/>
      <c r="B56" s="517" t="s">
        <v>389</v>
      </c>
      <c r="C56" s="520">
        <v>43320</v>
      </c>
    </row>
    <row r="57" spans="1:3" ht="18" customHeight="1">
      <c r="A57" s="530"/>
      <c r="B57" s="531" t="s">
        <v>390</v>
      </c>
      <c r="C57" s="520">
        <v>16614</v>
      </c>
    </row>
    <row r="58" spans="1:3" ht="18" customHeight="1">
      <c r="A58" s="516"/>
      <c r="B58" s="517" t="s">
        <v>391</v>
      </c>
      <c r="C58" s="521" t="s">
        <v>523</v>
      </c>
    </row>
    <row r="59" spans="1:3" ht="18" customHeight="1">
      <c r="A59" s="530"/>
      <c r="B59" s="531" t="s">
        <v>392</v>
      </c>
      <c r="C59" s="520">
        <v>162379</v>
      </c>
    </row>
    <row r="60" spans="1:3" ht="18" customHeight="1">
      <c r="A60" s="516"/>
      <c r="B60" s="517" t="s">
        <v>393</v>
      </c>
      <c r="C60" s="520">
        <v>20</v>
      </c>
    </row>
    <row r="61" spans="1:3" ht="18" customHeight="1">
      <c r="A61" s="516"/>
      <c r="B61" s="517" t="s">
        <v>394</v>
      </c>
      <c r="C61" s="520">
        <v>15</v>
      </c>
    </row>
    <row r="62" spans="1:3" ht="18" customHeight="1">
      <c r="A62" s="530"/>
      <c r="B62" s="531" t="s">
        <v>395</v>
      </c>
      <c r="C62" s="572" t="s">
        <v>840</v>
      </c>
    </row>
    <row r="63" spans="1:3" s="181" customFormat="1" ht="18" customHeight="1">
      <c r="A63" s="513">
        <v>2</v>
      </c>
      <c r="B63" s="514" t="s">
        <v>396</v>
      </c>
      <c r="C63" s="515"/>
    </row>
    <row r="64" spans="1:3" ht="18" customHeight="1">
      <c r="A64" s="516"/>
      <c r="B64" s="517" t="s">
        <v>397</v>
      </c>
      <c r="C64" s="520">
        <v>10</v>
      </c>
    </row>
    <row r="65" spans="1:3" ht="18" customHeight="1">
      <c r="A65" s="516"/>
      <c r="B65" s="517" t="s">
        <v>398</v>
      </c>
      <c r="C65" s="520">
        <v>11</v>
      </c>
    </row>
    <row r="66" spans="1:3" ht="18" customHeight="1">
      <c r="A66" s="516"/>
      <c r="B66" s="517" t="s">
        <v>399</v>
      </c>
      <c r="C66" s="532">
        <v>10189</v>
      </c>
    </row>
    <row r="67" spans="1:3" ht="18" customHeight="1">
      <c r="A67" s="516"/>
      <c r="B67" s="517" t="s">
        <v>400</v>
      </c>
      <c r="C67" s="520">
        <v>3870</v>
      </c>
    </row>
    <row r="68" spans="1:3" ht="18" customHeight="1">
      <c r="A68" s="516"/>
      <c r="B68" s="517" t="s">
        <v>401</v>
      </c>
      <c r="C68" s="520">
        <v>63680</v>
      </c>
    </row>
    <row r="69" spans="1:3" s="181" customFormat="1" ht="18" customHeight="1">
      <c r="A69" s="513">
        <v>3</v>
      </c>
      <c r="B69" s="514" t="s">
        <v>402</v>
      </c>
      <c r="C69" s="515"/>
    </row>
    <row r="70" spans="1:3" ht="18" customHeight="1">
      <c r="A70" s="516"/>
      <c r="B70" s="517" t="s">
        <v>403</v>
      </c>
      <c r="C70" s="533">
        <v>627749</v>
      </c>
    </row>
    <row r="71" spans="1:3" ht="18" customHeight="1">
      <c r="A71" s="516"/>
      <c r="B71" s="517" t="s">
        <v>404</v>
      </c>
      <c r="C71" s="520">
        <v>33677</v>
      </c>
    </row>
    <row r="72" spans="1:3" ht="18" customHeight="1">
      <c r="A72" s="516"/>
      <c r="B72" s="517" t="s">
        <v>405</v>
      </c>
      <c r="C72" s="520">
        <v>30155</v>
      </c>
    </row>
    <row r="73" spans="1:3" ht="18" customHeight="1">
      <c r="A73" s="516"/>
      <c r="B73" s="517" t="s">
        <v>406</v>
      </c>
      <c r="C73" s="534">
        <f>C70+C71+C72</f>
        <v>691581</v>
      </c>
    </row>
    <row r="74" spans="1:3" ht="18" customHeight="1">
      <c r="A74" s="516"/>
      <c r="B74" s="517" t="s">
        <v>407</v>
      </c>
      <c r="C74" s="515">
        <v>779581</v>
      </c>
    </row>
    <row r="75" spans="1:3" ht="18" customHeight="1">
      <c r="A75" s="527" t="s">
        <v>158</v>
      </c>
      <c r="B75" s="528" t="s">
        <v>408</v>
      </c>
      <c r="C75" s="529"/>
    </row>
    <row r="76" spans="1:3" ht="18" customHeight="1">
      <c r="A76" s="516"/>
      <c r="B76" s="517" t="s">
        <v>409</v>
      </c>
      <c r="C76" s="520"/>
    </row>
    <row r="77" spans="1:3" ht="18" customHeight="1">
      <c r="A77" s="516"/>
      <c r="B77" s="535" t="s">
        <v>410</v>
      </c>
      <c r="C77" s="536"/>
    </row>
    <row r="78" spans="1:3" ht="18" customHeight="1">
      <c r="A78" s="516"/>
      <c r="B78" s="535" t="s">
        <v>411</v>
      </c>
      <c r="C78" s="520">
        <v>10189</v>
      </c>
    </row>
    <row r="79" spans="1:3" ht="18" customHeight="1">
      <c r="A79" s="516"/>
      <c r="B79" s="535" t="s">
        <v>412</v>
      </c>
      <c r="C79" s="520">
        <v>11462</v>
      </c>
    </row>
    <row r="80" spans="1:3" ht="18" customHeight="1">
      <c r="A80" s="516"/>
      <c r="B80" s="535" t="s">
        <v>413</v>
      </c>
      <c r="C80" s="520">
        <v>12736</v>
      </c>
    </row>
    <row r="81" spans="1:3" ht="18" customHeight="1">
      <c r="A81" s="516"/>
      <c r="B81" s="535" t="s">
        <v>414</v>
      </c>
      <c r="C81" s="520">
        <v>8932</v>
      </c>
    </row>
    <row r="82" spans="1:3" s="181" customFormat="1" ht="18" customHeight="1">
      <c r="A82" s="513"/>
      <c r="B82" s="537" t="s">
        <v>415</v>
      </c>
      <c r="C82" s="515">
        <v>43320</v>
      </c>
    </row>
    <row r="83" spans="1:3" ht="18" customHeight="1">
      <c r="A83" s="516"/>
      <c r="B83" s="517" t="s">
        <v>416</v>
      </c>
      <c r="C83" s="520"/>
    </row>
    <row r="84" spans="1:3" ht="18" customHeight="1">
      <c r="A84" s="516"/>
      <c r="B84" s="535" t="s">
        <v>417</v>
      </c>
      <c r="C84" s="520">
        <v>1920</v>
      </c>
    </row>
    <row r="85" spans="1:3" ht="18" customHeight="1">
      <c r="A85" s="516"/>
      <c r="B85" s="535" t="s">
        <v>418</v>
      </c>
      <c r="C85" s="520">
        <v>1920</v>
      </c>
    </row>
    <row r="86" spans="1:3" ht="18" customHeight="1">
      <c r="A86" s="516"/>
      <c r="B86" s="535" t="s">
        <v>419</v>
      </c>
      <c r="C86" s="520">
        <v>3821</v>
      </c>
    </row>
    <row r="87" spans="1:3" ht="18" customHeight="1">
      <c r="A87" s="516"/>
      <c r="B87" s="535" t="s">
        <v>420</v>
      </c>
      <c r="C87" s="520">
        <v>5094</v>
      </c>
    </row>
    <row r="88" spans="1:3" ht="18" customHeight="1">
      <c r="A88" s="516"/>
      <c r="B88" s="535" t="s">
        <v>421</v>
      </c>
      <c r="C88" s="520">
        <v>3821</v>
      </c>
    </row>
    <row r="89" spans="1:3" s="181" customFormat="1" ht="18" customHeight="1">
      <c r="A89" s="513"/>
      <c r="B89" s="537" t="s">
        <v>415</v>
      </c>
      <c r="C89" s="515">
        <f>C84+C85+C86+C87+C88</f>
        <v>16576</v>
      </c>
    </row>
    <row r="90" spans="1:3" ht="18" customHeight="1">
      <c r="A90" s="516"/>
      <c r="B90" s="517" t="s">
        <v>422</v>
      </c>
      <c r="C90" s="520"/>
    </row>
    <row r="91" spans="1:3" ht="18" customHeight="1">
      <c r="A91" s="516"/>
      <c r="B91" s="535" t="s">
        <v>423</v>
      </c>
      <c r="C91" s="521" t="s">
        <v>450</v>
      </c>
    </row>
    <row r="92" spans="1:3" ht="18" customHeight="1">
      <c r="A92" s="516"/>
      <c r="B92" s="535" t="s">
        <v>424</v>
      </c>
      <c r="C92" s="520">
        <v>3393</v>
      </c>
    </row>
    <row r="93" spans="1:3" ht="18" customHeight="1">
      <c r="A93" s="516"/>
      <c r="B93" s="535" t="s">
        <v>425</v>
      </c>
      <c r="C93" s="520">
        <v>4148</v>
      </c>
    </row>
    <row r="94" spans="1:3" ht="18" customHeight="1">
      <c r="A94" s="516"/>
      <c r="B94" s="535" t="s">
        <v>426</v>
      </c>
      <c r="C94" s="520">
        <v>4777</v>
      </c>
    </row>
    <row r="95" spans="1:3" ht="18" customHeight="1">
      <c r="A95" s="516"/>
      <c r="B95" s="535" t="s">
        <v>427</v>
      </c>
      <c r="C95" s="520">
        <v>3409</v>
      </c>
    </row>
    <row r="96" spans="1:3" ht="18" customHeight="1">
      <c r="A96" s="516"/>
      <c r="B96" s="535" t="s">
        <v>428</v>
      </c>
      <c r="C96" s="515">
        <v>16104</v>
      </c>
    </row>
    <row r="97" spans="1:3" ht="18" customHeight="1">
      <c r="A97" s="516"/>
      <c r="B97" s="517" t="s">
        <v>429</v>
      </c>
      <c r="C97" s="520"/>
    </row>
    <row r="98" spans="1:3" ht="18" customHeight="1">
      <c r="A98" s="516"/>
      <c r="B98" s="535" t="s">
        <v>430</v>
      </c>
      <c r="C98" s="520">
        <v>0</v>
      </c>
    </row>
    <row r="99" spans="1:3" ht="18" customHeight="1">
      <c r="A99" s="516"/>
      <c r="B99" s="535" t="s">
        <v>431</v>
      </c>
      <c r="C99" s="520">
        <v>0</v>
      </c>
    </row>
    <row r="100" spans="1:3" ht="18" customHeight="1">
      <c r="A100" s="516"/>
      <c r="B100" s="535" t="s">
        <v>432</v>
      </c>
      <c r="C100" s="520">
        <v>0</v>
      </c>
    </row>
    <row r="101" spans="1:3" ht="18" customHeight="1">
      <c r="A101" s="516"/>
      <c r="B101" s="535" t="s">
        <v>433</v>
      </c>
      <c r="C101" s="520">
        <v>54127</v>
      </c>
    </row>
    <row r="102" spans="1:3" ht="18" customHeight="1">
      <c r="A102" s="516"/>
      <c r="B102" s="535" t="s">
        <v>434</v>
      </c>
      <c r="C102" s="520">
        <v>54127</v>
      </c>
    </row>
    <row r="103" spans="1:3" s="181" customFormat="1" ht="18" customHeight="1">
      <c r="A103" s="513"/>
      <c r="B103" s="537" t="s">
        <v>415</v>
      </c>
      <c r="C103" s="515">
        <v>108254</v>
      </c>
    </row>
    <row r="104" spans="1:3" ht="18" customHeight="1">
      <c r="A104" s="516"/>
      <c r="B104" s="517" t="s">
        <v>435</v>
      </c>
      <c r="C104" s="520"/>
    </row>
    <row r="105" spans="1:3" ht="18" customHeight="1">
      <c r="A105" s="516"/>
      <c r="B105" s="535" t="s">
        <v>436</v>
      </c>
      <c r="C105" s="520">
        <v>31839</v>
      </c>
    </row>
    <row r="106" spans="1:3" ht="18" customHeight="1">
      <c r="A106" s="516"/>
      <c r="B106" s="535" t="s">
        <v>437</v>
      </c>
      <c r="C106" s="520">
        <v>31839</v>
      </c>
    </row>
    <row r="107" spans="1:3" ht="18" customHeight="1">
      <c r="A107" s="516"/>
      <c r="B107" s="535" t="s">
        <v>438</v>
      </c>
      <c r="C107" s="520">
        <v>31839</v>
      </c>
    </row>
    <row r="108" spans="1:3" ht="18" customHeight="1">
      <c r="A108" s="516"/>
      <c r="B108" s="535" t="s">
        <v>439</v>
      </c>
      <c r="C108" s="520">
        <v>31839</v>
      </c>
    </row>
    <row r="109" spans="1:3" ht="18" customHeight="1">
      <c r="A109" s="516"/>
      <c r="B109" s="535" t="s">
        <v>440</v>
      </c>
      <c r="C109" s="520">
        <v>35023</v>
      </c>
    </row>
    <row r="110" spans="1:3" s="181" customFormat="1" ht="18" customHeight="1">
      <c r="A110" s="513"/>
      <c r="B110" s="537" t="s">
        <v>415</v>
      </c>
      <c r="C110" s="515">
        <v>162379</v>
      </c>
    </row>
    <row r="111" spans="1:3" ht="18" customHeight="1">
      <c r="A111" s="516"/>
      <c r="B111" s="517" t="s">
        <v>422</v>
      </c>
      <c r="C111" s="520"/>
    </row>
    <row r="112" spans="1:3" ht="18" customHeight="1">
      <c r="A112" s="516"/>
      <c r="B112" s="535" t="s">
        <v>423</v>
      </c>
      <c r="C112" s="521" t="s">
        <v>451</v>
      </c>
    </row>
    <row r="113" spans="1:3" ht="18" customHeight="1">
      <c r="A113" s="516"/>
      <c r="B113" s="535" t="s">
        <v>424</v>
      </c>
      <c r="C113" s="521" t="s">
        <v>451</v>
      </c>
    </row>
    <row r="114" spans="1:3" ht="18" customHeight="1">
      <c r="A114" s="516"/>
      <c r="B114" s="535" t="s">
        <v>425</v>
      </c>
      <c r="C114" s="521" t="s">
        <v>451</v>
      </c>
    </row>
    <row r="115" spans="1:3" ht="18" customHeight="1">
      <c r="A115" s="516"/>
      <c r="B115" s="535" t="s">
        <v>426</v>
      </c>
      <c r="C115" s="521">
        <v>2714</v>
      </c>
    </row>
    <row r="116" spans="1:3" ht="18" customHeight="1">
      <c r="A116" s="516"/>
      <c r="B116" s="535" t="s">
        <v>427</v>
      </c>
      <c r="C116" s="521">
        <v>2779.98</v>
      </c>
    </row>
    <row r="117" spans="1:3" ht="18" customHeight="1">
      <c r="A117" s="516"/>
      <c r="B117" s="535" t="s">
        <v>428</v>
      </c>
      <c r="C117" s="538">
        <v>7344.98</v>
      </c>
    </row>
    <row r="118" spans="1:3" ht="18" customHeight="1">
      <c r="A118" s="516"/>
      <c r="B118" s="517" t="s">
        <v>441</v>
      </c>
      <c r="C118" s="520"/>
    </row>
    <row r="119" spans="1:3" ht="18" customHeight="1">
      <c r="A119" s="516"/>
      <c r="B119" s="535" t="s">
        <v>442</v>
      </c>
      <c r="C119" s="521" t="s">
        <v>241</v>
      </c>
    </row>
    <row r="120" spans="1:3" ht="18" customHeight="1">
      <c r="A120" s="516"/>
      <c r="B120" s="535" t="s">
        <v>443</v>
      </c>
      <c r="C120" s="521" t="s">
        <v>241</v>
      </c>
    </row>
    <row r="121" spans="1:3" ht="18" customHeight="1">
      <c r="A121" s="516"/>
      <c r="B121" s="535" t="s">
        <v>444</v>
      </c>
      <c r="C121" s="521" t="s">
        <v>241</v>
      </c>
    </row>
    <row r="122" spans="1:3" ht="18" customHeight="1">
      <c r="A122" s="516"/>
      <c r="B122" s="535" t="s">
        <v>445</v>
      </c>
      <c r="C122" s="521" t="s">
        <v>241</v>
      </c>
    </row>
    <row r="123" spans="1:3" ht="18" customHeight="1">
      <c r="A123" s="516"/>
      <c r="B123" s="535" t="s">
        <v>446</v>
      </c>
      <c r="C123" s="521" t="s">
        <v>241</v>
      </c>
    </row>
    <row r="124" spans="1:3" ht="18" customHeight="1">
      <c r="A124" s="516"/>
      <c r="B124" s="517" t="s">
        <v>447</v>
      </c>
      <c r="C124" s="520"/>
    </row>
    <row r="125" spans="1:3" ht="18" customHeight="1">
      <c r="A125" s="516"/>
      <c r="B125" s="517" t="s">
        <v>422</v>
      </c>
      <c r="C125" s="520"/>
    </row>
    <row r="126" spans="1:3" ht="18" customHeight="1">
      <c r="A126" s="516"/>
      <c r="B126" s="535" t="s">
        <v>423</v>
      </c>
      <c r="C126" s="521" t="s">
        <v>452</v>
      </c>
    </row>
    <row r="127" spans="1:3" ht="18" customHeight="1">
      <c r="A127" s="516"/>
      <c r="B127" s="535" t="s">
        <v>424</v>
      </c>
      <c r="C127" s="521" t="s">
        <v>452</v>
      </c>
    </row>
    <row r="128" spans="1:3" ht="18" customHeight="1">
      <c r="A128" s="516"/>
      <c r="B128" s="535" t="s">
        <v>425</v>
      </c>
      <c r="C128" s="521" t="s">
        <v>452</v>
      </c>
    </row>
    <row r="129" spans="1:3" ht="18" customHeight="1">
      <c r="A129" s="516"/>
      <c r="B129" s="535" t="s">
        <v>426</v>
      </c>
      <c r="C129" s="521" t="s">
        <v>452</v>
      </c>
    </row>
    <row r="130" spans="1:3" ht="18" customHeight="1">
      <c r="A130" s="516"/>
      <c r="B130" s="535" t="s">
        <v>427</v>
      </c>
      <c r="C130" s="521" t="s">
        <v>452</v>
      </c>
    </row>
    <row r="131" spans="1:3" ht="18" customHeight="1">
      <c r="A131" s="539"/>
      <c r="B131" s="540" t="s">
        <v>428</v>
      </c>
      <c r="C131" s="541">
        <v>1540</v>
      </c>
    </row>
    <row r="132" ht="15" customHeight="1">
      <c r="A132" s="182"/>
    </row>
  </sheetData>
  <mergeCells count="1">
    <mergeCell ref="A2:C2"/>
  </mergeCells>
  <printOptions/>
  <pageMargins left="0.38" right="0.29" top="0.32" bottom="0.37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C1">
      <selection activeCell="A2" sqref="A2:I2"/>
    </sheetView>
  </sheetViews>
  <sheetFormatPr defaultColWidth="9.140625" defaultRowHeight="12.75"/>
  <cols>
    <col min="1" max="1" width="0.2890625" style="105" hidden="1" customWidth="1"/>
    <col min="2" max="2" width="9.140625" style="105" hidden="1" customWidth="1"/>
    <col min="3" max="3" width="5.00390625" style="105" customWidth="1"/>
    <col min="4" max="4" width="56.57421875" style="105" customWidth="1"/>
    <col min="5" max="5" width="8.140625" style="105" customWidth="1"/>
    <col min="6" max="6" width="8.7109375" style="105" customWidth="1"/>
    <col min="7" max="7" width="7.00390625" style="105" customWidth="1"/>
    <col min="8" max="8" width="7.28125" style="105" customWidth="1"/>
    <col min="9" max="9" width="8.421875" style="105" customWidth="1"/>
    <col min="10" max="16384" width="9.140625" style="105" customWidth="1"/>
  </cols>
  <sheetData>
    <row r="1" spans="1:10" s="83" customFormat="1" ht="15.75">
      <c r="A1" s="640" t="s">
        <v>453</v>
      </c>
      <c r="B1" s="640"/>
      <c r="C1" s="640"/>
      <c r="D1" s="640"/>
      <c r="E1" s="640"/>
      <c r="F1" s="640"/>
      <c r="G1" s="640"/>
      <c r="H1" s="640"/>
      <c r="I1" s="640"/>
      <c r="J1" s="106"/>
    </row>
    <row r="2" spans="1:10" ht="15.75">
      <c r="A2" s="641" t="s">
        <v>850</v>
      </c>
      <c r="B2" s="641"/>
      <c r="C2" s="641"/>
      <c r="D2" s="641"/>
      <c r="E2" s="641"/>
      <c r="F2" s="641"/>
      <c r="G2" s="641"/>
      <c r="H2" s="641"/>
      <c r="I2" s="641"/>
      <c r="J2" s="107"/>
    </row>
    <row r="5" spans="3:9" s="83" customFormat="1" ht="19.5" customHeight="1">
      <c r="C5" s="108" t="s">
        <v>40</v>
      </c>
      <c r="D5" s="108" t="s">
        <v>232</v>
      </c>
      <c r="E5" s="108">
        <v>2013</v>
      </c>
      <c r="F5" s="108">
        <v>2014</v>
      </c>
      <c r="G5" s="108">
        <v>2015</v>
      </c>
      <c r="H5" s="108">
        <v>2016</v>
      </c>
      <c r="I5" s="108">
        <v>2017</v>
      </c>
    </row>
    <row r="6" spans="3:9" s="84" customFormat="1" ht="19.5" customHeight="1">
      <c r="C6" s="109">
        <v>1</v>
      </c>
      <c r="D6" s="110" t="s">
        <v>235</v>
      </c>
      <c r="E6" s="111"/>
      <c r="F6" s="111">
        <v>10189</v>
      </c>
      <c r="G6" s="111">
        <f>PL1!C79</f>
        <v>11462</v>
      </c>
      <c r="H6" s="111">
        <f>PL1!C80</f>
        <v>12736</v>
      </c>
      <c r="I6" s="111">
        <f>PL1!C81</f>
        <v>8932</v>
      </c>
    </row>
    <row r="7" spans="3:9" s="84" customFormat="1" ht="19.5" customHeight="1">
      <c r="C7" s="109">
        <v>2</v>
      </c>
      <c r="D7" s="110" t="s">
        <v>236</v>
      </c>
      <c r="E7" s="111">
        <f>PL1!C84</f>
        <v>1920</v>
      </c>
      <c r="F7" s="111">
        <f>PL1!C85</f>
        <v>1920</v>
      </c>
      <c r="G7" s="111">
        <f>PL1!C86</f>
        <v>3821</v>
      </c>
      <c r="H7" s="111">
        <f>PL1!C87</f>
        <v>5094</v>
      </c>
      <c r="I7" s="111">
        <f>PL1!C88</f>
        <v>3821</v>
      </c>
    </row>
    <row r="8" spans="3:9" s="84" customFormat="1" ht="19.5" customHeight="1">
      <c r="C8" s="109">
        <v>3</v>
      </c>
      <c r="D8" s="110" t="s">
        <v>237</v>
      </c>
      <c r="E8" s="109"/>
      <c r="F8" s="109"/>
      <c r="G8" s="186"/>
      <c r="H8" s="195">
        <f>PL1!C101</f>
        <v>54127</v>
      </c>
      <c r="I8" s="195">
        <f>PL1!C102</f>
        <v>54127</v>
      </c>
    </row>
    <row r="9" spans="3:9" s="84" customFormat="1" ht="19.5" customHeight="1">
      <c r="C9" s="109">
        <v>4</v>
      </c>
      <c r="D9" s="110" t="s">
        <v>238</v>
      </c>
      <c r="E9" s="111">
        <f>PL1!C105</f>
        <v>31839</v>
      </c>
      <c r="F9" s="111">
        <f>PL1!C106</f>
        <v>31839</v>
      </c>
      <c r="G9" s="111">
        <f>PL1!C107</f>
        <v>31839</v>
      </c>
      <c r="H9" s="111">
        <f>PL1!C108</f>
        <v>31839</v>
      </c>
      <c r="I9" s="111">
        <f>PL1!C109</f>
        <v>35023</v>
      </c>
    </row>
    <row r="10" spans="3:9" s="84" customFormat="1" ht="19.5" customHeight="1">
      <c r="C10" s="109">
        <v>5</v>
      </c>
      <c r="D10" s="110" t="s">
        <v>239</v>
      </c>
      <c r="E10" s="109" t="s">
        <v>241</v>
      </c>
      <c r="F10" s="109" t="s">
        <v>241</v>
      </c>
      <c r="G10" s="109" t="s">
        <v>241</v>
      </c>
      <c r="H10" s="109" t="s">
        <v>241</v>
      </c>
      <c r="I10" s="109" t="s">
        <v>241</v>
      </c>
    </row>
    <row r="11" spans="3:9" s="84" customFormat="1" ht="19.5" customHeight="1">
      <c r="C11" s="109">
        <v>6</v>
      </c>
      <c r="D11" s="110" t="s">
        <v>240</v>
      </c>
      <c r="E11" s="109" t="s">
        <v>241</v>
      </c>
      <c r="F11" s="109" t="s">
        <v>241</v>
      </c>
      <c r="G11" s="109" t="s">
        <v>241</v>
      </c>
      <c r="H11" s="109" t="s">
        <v>241</v>
      </c>
      <c r="I11" s="109" t="s">
        <v>241</v>
      </c>
    </row>
  </sheetData>
  <sheetProtection/>
  <mergeCells count="2">
    <mergeCell ref="A2:I2"/>
    <mergeCell ref="A1:I1"/>
  </mergeCells>
  <printOptions/>
  <pageMargins left="0.19" right="0.18" top="0.64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A4" sqref="A4:M4"/>
    </sheetView>
  </sheetViews>
  <sheetFormatPr defaultColWidth="9.140625" defaultRowHeight="12.75"/>
  <cols>
    <col min="1" max="1" width="19.140625" style="218" customWidth="1"/>
    <col min="2" max="2" width="12.140625" style="218" customWidth="1"/>
    <col min="3" max="3" width="10.8515625" style="218" customWidth="1"/>
    <col min="4" max="4" width="11.00390625" style="218" customWidth="1"/>
    <col min="5" max="9" width="9.140625" style="218" customWidth="1"/>
    <col min="10" max="10" width="10.140625" style="218" customWidth="1"/>
    <col min="11" max="11" width="10.8515625" style="218" customWidth="1"/>
    <col min="12" max="12" width="10.28125" style="218" customWidth="1"/>
    <col min="13" max="13" width="10.421875" style="218" customWidth="1"/>
    <col min="14" max="16384" width="9.140625" style="218" customWidth="1"/>
  </cols>
  <sheetData>
    <row r="3" spans="1:13" s="205" customFormat="1" ht="15.75">
      <c r="A3" s="579" t="s">
        <v>525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</row>
    <row r="4" spans="1:13" s="205" customFormat="1" ht="18.75">
      <c r="A4" s="580" t="s">
        <v>850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s="321" customFormat="1" ht="28.5" customHeight="1">
      <c r="A5" s="669" t="s">
        <v>526</v>
      </c>
      <c r="B5" s="582" t="s">
        <v>258</v>
      </c>
      <c r="C5" s="582"/>
      <c r="D5" s="582"/>
      <c r="E5" s="582"/>
      <c r="F5" s="582" t="s">
        <v>527</v>
      </c>
      <c r="G5" s="582"/>
      <c r="H5" s="582" t="s">
        <v>528</v>
      </c>
      <c r="I5" s="582"/>
      <c r="J5" s="670" t="s">
        <v>529</v>
      </c>
      <c r="K5" s="670"/>
      <c r="L5" s="582" t="s">
        <v>530</v>
      </c>
      <c r="M5" s="582"/>
    </row>
    <row r="6" spans="1:13" s="321" customFormat="1" ht="42.75">
      <c r="A6" s="669"/>
      <c r="B6" s="322" t="s">
        <v>266</v>
      </c>
      <c r="C6" s="322" t="s">
        <v>531</v>
      </c>
      <c r="D6" s="322" t="s">
        <v>532</v>
      </c>
      <c r="E6" s="322" t="s">
        <v>533</v>
      </c>
      <c r="F6" s="322" t="s">
        <v>534</v>
      </c>
      <c r="G6" s="322" t="s">
        <v>10</v>
      </c>
      <c r="H6" s="322" t="s">
        <v>534</v>
      </c>
      <c r="I6" s="322" t="s">
        <v>10</v>
      </c>
      <c r="J6" s="322" t="s">
        <v>100</v>
      </c>
      <c r="K6" s="322" t="s">
        <v>535</v>
      </c>
      <c r="L6" s="322" t="s">
        <v>100</v>
      </c>
      <c r="M6" s="322" t="s">
        <v>536</v>
      </c>
    </row>
    <row r="7" spans="1:13" s="206" customFormat="1" ht="15.75">
      <c r="A7" s="207" t="s">
        <v>537</v>
      </c>
      <c r="B7" s="208">
        <v>7361</v>
      </c>
      <c r="C7" s="208">
        <v>2015</v>
      </c>
      <c r="D7" s="209">
        <v>207</v>
      </c>
      <c r="E7" s="209"/>
      <c r="F7" s="208">
        <v>2015</v>
      </c>
      <c r="G7" s="210" t="s">
        <v>538</v>
      </c>
      <c r="H7" s="208">
        <v>2015</v>
      </c>
      <c r="I7" s="208">
        <v>100</v>
      </c>
      <c r="J7" s="208">
        <v>2</v>
      </c>
      <c r="K7" s="208">
        <v>100</v>
      </c>
      <c r="L7" s="208">
        <v>1</v>
      </c>
      <c r="M7" s="208">
        <v>100</v>
      </c>
    </row>
    <row r="8" spans="1:13" s="206" customFormat="1" ht="15.75">
      <c r="A8" s="211" t="s">
        <v>539</v>
      </c>
      <c r="B8" s="208">
        <v>5532</v>
      </c>
      <c r="C8" s="208">
        <v>1680</v>
      </c>
      <c r="D8" s="209">
        <v>34</v>
      </c>
      <c r="E8" s="209"/>
      <c r="F8" s="208">
        <v>1528</v>
      </c>
      <c r="G8" s="210" t="s">
        <v>540</v>
      </c>
      <c r="H8" s="208">
        <v>1665</v>
      </c>
      <c r="I8" s="208" t="s">
        <v>541</v>
      </c>
      <c r="J8" s="208">
        <v>4</v>
      </c>
      <c r="K8" s="208">
        <v>100</v>
      </c>
      <c r="L8" s="208">
        <v>1</v>
      </c>
      <c r="M8" s="208">
        <v>100</v>
      </c>
    </row>
    <row r="9" spans="1:13" s="206" customFormat="1" ht="15.75">
      <c r="A9" s="207" t="s">
        <v>542</v>
      </c>
      <c r="B9" s="208">
        <v>2991</v>
      </c>
      <c r="C9" s="208">
        <v>1053</v>
      </c>
      <c r="D9" s="209">
        <v>99</v>
      </c>
      <c r="E9" s="209"/>
      <c r="F9" s="208">
        <v>1035</v>
      </c>
      <c r="G9" s="210" t="s">
        <v>543</v>
      </c>
      <c r="H9" s="208">
        <v>1035</v>
      </c>
      <c r="I9" s="208" t="s">
        <v>543</v>
      </c>
      <c r="J9" s="208">
        <v>3</v>
      </c>
      <c r="K9" s="208">
        <v>100</v>
      </c>
      <c r="L9" s="208">
        <v>1</v>
      </c>
      <c r="M9" s="208">
        <v>100</v>
      </c>
    </row>
    <row r="10" spans="1:13" s="206" customFormat="1" ht="15.75">
      <c r="A10" s="207" t="s">
        <v>544</v>
      </c>
      <c r="B10" s="208">
        <v>5905</v>
      </c>
      <c r="C10" s="208">
        <v>1663</v>
      </c>
      <c r="D10" s="209">
        <v>62</v>
      </c>
      <c r="E10" s="209"/>
      <c r="F10" s="208">
        <v>1575</v>
      </c>
      <c r="G10" s="210" t="s">
        <v>545</v>
      </c>
      <c r="H10" s="208">
        <v>1612</v>
      </c>
      <c r="I10" s="208" t="s">
        <v>546</v>
      </c>
      <c r="J10" s="208">
        <v>4</v>
      </c>
      <c r="K10" s="208">
        <v>100</v>
      </c>
      <c r="L10" s="208">
        <v>1</v>
      </c>
      <c r="M10" s="208">
        <v>100</v>
      </c>
    </row>
    <row r="11" spans="1:13" s="206" customFormat="1" ht="15.75">
      <c r="A11" s="207" t="s">
        <v>547</v>
      </c>
      <c r="B11" s="212">
        <v>5464</v>
      </c>
      <c r="C11" s="212">
        <v>1670</v>
      </c>
      <c r="D11" s="209">
        <v>39</v>
      </c>
      <c r="E11" s="213"/>
      <c r="F11" s="212">
        <v>1160</v>
      </c>
      <c r="G11" s="214">
        <v>0.695</v>
      </c>
      <c r="H11" s="212">
        <v>1670</v>
      </c>
      <c r="I11" s="215">
        <v>1</v>
      </c>
      <c r="J11" s="208">
        <v>7</v>
      </c>
      <c r="K11" s="208">
        <v>100</v>
      </c>
      <c r="L11" s="208">
        <v>1</v>
      </c>
      <c r="M11" s="208">
        <v>100</v>
      </c>
    </row>
    <row r="12" spans="1:13" s="206" customFormat="1" ht="15.75">
      <c r="A12" s="207" t="s">
        <v>548</v>
      </c>
      <c r="B12" s="212">
        <v>8530</v>
      </c>
      <c r="C12" s="212">
        <v>2437</v>
      </c>
      <c r="D12" s="209">
        <v>263</v>
      </c>
      <c r="E12" s="213"/>
      <c r="F12" s="212">
        <v>2236</v>
      </c>
      <c r="G12" s="214">
        <v>0.918</v>
      </c>
      <c r="H12" s="212">
        <v>2412</v>
      </c>
      <c r="I12" s="215">
        <v>0.99</v>
      </c>
      <c r="J12" s="208">
        <v>4</v>
      </c>
      <c r="K12" s="208">
        <v>100</v>
      </c>
      <c r="L12" s="208">
        <v>1</v>
      </c>
      <c r="M12" s="208">
        <v>100</v>
      </c>
    </row>
    <row r="13" spans="1:13" s="206" customFormat="1" ht="15.75">
      <c r="A13" s="207" t="s">
        <v>549</v>
      </c>
      <c r="B13" s="212">
        <v>10392</v>
      </c>
      <c r="C13" s="212">
        <v>2849</v>
      </c>
      <c r="D13" s="209">
        <v>215</v>
      </c>
      <c r="E13" s="213"/>
      <c r="F13" s="212">
        <v>2514</v>
      </c>
      <c r="G13" s="214">
        <v>0.882</v>
      </c>
      <c r="H13" s="212">
        <v>2769</v>
      </c>
      <c r="I13" s="215">
        <v>0.97</v>
      </c>
      <c r="J13" s="208">
        <v>5</v>
      </c>
      <c r="K13" s="208">
        <v>100</v>
      </c>
      <c r="L13" s="208">
        <v>1</v>
      </c>
      <c r="M13" s="208">
        <v>100</v>
      </c>
    </row>
    <row r="14" spans="1:13" s="206" customFormat="1" ht="15.75">
      <c r="A14" s="207" t="s">
        <v>550</v>
      </c>
      <c r="B14" s="212">
        <v>5057</v>
      </c>
      <c r="C14" s="212">
        <v>1368</v>
      </c>
      <c r="D14" s="209">
        <v>178</v>
      </c>
      <c r="E14" s="213"/>
      <c r="F14" s="212">
        <v>1164</v>
      </c>
      <c r="G14" s="214">
        <v>0.851</v>
      </c>
      <c r="H14" s="212">
        <v>1322</v>
      </c>
      <c r="I14" s="215">
        <v>0.97</v>
      </c>
      <c r="J14" s="208">
        <v>5</v>
      </c>
      <c r="K14" s="208">
        <v>100</v>
      </c>
      <c r="L14" s="208">
        <v>1</v>
      </c>
      <c r="M14" s="208">
        <v>100</v>
      </c>
    </row>
    <row r="15" spans="1:13" s="206" customFormat="1" ht="15.75">
      <c r="A15" s="207" t="s">
        <v>551</v>
      </c>
      <c r="B15" s="212">
        <v>7561</v>
      </c>
      <c r="C15" s="212">
        <v>2206</v>
      </c>
      <c r="D15" s="209">
        <v>187</v>
      </c>
      <c r="E15" s="213"/>
      <c r="F15" s="212">
        <v>1822</v>
      </c>
      <c r="G15" s="214">
        <v>0.826</v>
      </c>
      <c r="H15" s="212">
        <v>2105</v>
      </c>
      <c r="I15" s="215">
        <v>0.95</v>
      </c>
      <c r="J15" s="208">
        <v>3</v>
      </c>
      <c r="K15" s="208">
        <v>100</v>
      </c>
      <c r="L15" s="208">
        <v>1</v>
      </c>
      <c r="M15" s="208">
        <v>100</v>
      </c>
    </row>
    <row r="16" spans="1:13" s="206" customFormat="1" ht="15.75">
      <c r="A16" s="207" t="s">
        <v>552</v>
      </c>
      <c r="B16" s="212">
        <v>6481</v>
      </c>
      <c r="C16" s="212">
        <v>1744</v>
      </c>
      <c r="D16" s="209">
        <v>158</v>
      </c>
      <c r="E16" s="213"/>
      <c r="F16" s="212">
        <v>1381</v>
      </c>
      <c r="G16" s="214">
        <v>0.792</v>
      </c>
      <c r="H16" s="212">
        <v>1657</v>
      </c>
      <c r="I16" s="215">
        <v>0.95</v>
      </c>
      <c r="J16" s="208">
        <v>7</v>
      </c>
      <c r="K16" s="208">
        <v>100</v>
      </c>
      <c r="L16" s="208">
        <v>1</v>
      </c>
      <c r="M16" s="208">
        <v>100</v>
      </c>
    </row>
    <row r="17" spans="1:13" s="206" customFormat="1" ht="15.75">
      <c r="A17" s="207" t="s">
        <v>553</v>
      </c>
      <c r="B17" s="212">
        <v>2745</v>
      </c>
      <c r="C17" s="210">
        <v>743</v>
      </c>
      <c r="D17" s="209">
        <v>79</v>
      </c>
      <c r="E17" s="213"/>
      <c r="F17" s="210">
        <v>582</v>
      </c>
      <c r="G17" s="214">
        <v>0.783</v>
      </c>
      <c r="H17" s="210">
        <v>731</v>
      </c>
      <c r="I17" s="215">
        <v>0.98</v>
      </c>
      <c r="J17" s="208">
        <v>3</v>
      </c>
      <c r="K17" s="208">
        <v>100</v>
      </c>
      <c r="L17" s="208">
        <v>1</v>
      </c>
      <c r="M17" s="208">
        <v>100</v>
      </c>
    </row>
    <row r="18" spans="1:13" s="206" customFormat="1" ht="15.75">
      <c r="A18" s="207" t="s">
        <v>554</v>
      </c>
      <c r="B18" s="212">
        <v>8047</v>
      </c>
      <c r="C18" s="212">
        <v>2028</v>
      </c>
      <c r="D18" s="209">
        <v>226</v>
      </c>
      <c r="E18" s="213"/>
      <c r="F18" s="212">
        <v>1543</v>
      </c>
      <c r="G18" s="214">
        <v>0.761</v>
      </c>
      <c r="H18" s="212">
        <v>2018</v>
      </c>
      <c r="I18" s="215">
        <v>1</v>
      </c>
      <c r="J18" s="208">
        <v>3</v>
      </c>
      <c r="K18" s="208">
        <v>100</v>
      </c>
      <c r="L18" s="208">
        <v>1</v>
      </c>
      <c r="M18" s="208">
        <v>100</v>
      </c>
    </row>
    <row r="19" spans="1:13" s="206" customFormat="1" ht="15.75">
      <c r="A19" s="207" t="s">
        <v>555</v>
      </c>
      <c r="B19" s="212">
        <v>6036</v>
      </c>
      <c r="C19" s="212">
        <v>1809</v>
      </c>
      <c r="D19" s="209">
        <v>175</v>
      </c>
      <c r="E19" s="213"/>
      <c r="F19" s="212">
        <v>1305</v>
      </c>
      <c r="G19" s="214">
        <v>0.721</v>
      </c>
      <c r="H19" s="212">
        <v>1745</v>
      </c>
      <c r="I19" s="215">
        <v>0.96</v>
      </c>
      <c r="J19" s="208">
        <v>3</v>
      </c>
      <c r="K19" s="208">
        <v>100</v>
      </c>
      <c r="L19" s="208">
        <v>1</v>
      </c>
      <c r="M19" s="208">
        <v>100</v>
      </c>
    </row>
    <row r="20" spans="1:13" s="206" customFormat="1" ht="15.75">
      <c r="A20" s="207" t="s">
        <v>556</v>
      </c>
      <c r="B20" s="212">
        <v>4757</v>
      </c>
      <c r="C20" s="212">
        <v>1514</v>
      </c>
      <c r="D20" s="209">
        <v>34</v>
      </c>
      <c r="E20" s="213"/>
      <c r="F20" s="212">
        <v>1090</v>
      </c>
      <c r="G20" s="214">
        <v>0.72</v>
      </c>
      <c r="H20" s="212">
        <v>1456</v>
      </c>
      <c r="I20" s="215">
        <v>0.96</v>
      </c>
      <c r="J20" s="208">
        <v>3</v>
      </c>
      <c r="K20" s="208">
        <v>100</v>
      </c>
      <c r="L20" s="208">
        <v>1</v>
      </c>
      <c r="M20" s="208">
        <v>100</v>
      </c>
    </row>
    <row r="21" spans="1:13" s="206" customFormat="1" ht="15.75">
      <c r="A21" s="207" t="s">
        <v>557</v>
      </c>
      <c r="B21" s="212">
        <v>6323</v>
      </c>
      <c r="C21" s="212">
        <v>1939</v>
      </c>
      <c r="D21" s="209">
        <v>190</v>
      </c>
      <c r="E21" s="213"/>
      <c r="F21" s="212">
        <v>1668</v>
      </c>
      <c r="G21" s="214">
        <v>0.86</v>
      </c>
      <c r="H21" s="212">
        <v>1738</v>
      </c>
      <c r="I21" s="215">
        <v>0.9</v>
      </c>
      <c r="J21" s="208">
        <v>6</v>
      </c>
      <c r="K21" s="208">
        <v>100</v>
      </c>
      <c r="L21" s="208">
        <v>1</v>
      </c>
      <c r="M21" s="208">
        <v>100</v>
      </c>
    </row>
    <row r="22" spans="1:13" s="206" customFormat="1" ht="15.75">
      <c r="A22" s="207" t="s">
        <v>558</v>
      </c>
      <c r="B22" s="212">
        <v>14501</v>
      </c>
      <c r="C22" s="212">
        <v>4308</v>
      </c>
      <c r="D22" s="209">
        <v>330</v>
      </c>
      <c r="E22" s="213"/>
      <c r="F22" s="212">
        <v>3681</v>
      </c>
      <c r="G22" s="214">
        <v>0.854</v>
      </c>
      <c r="H22" s="212">
        <v>3774</v>
      </c>
      <c r="I22" s="215">
        <v>0.88</v>
      </c>
      <c r="J22" s="208">
        <v>5</v>
      </c>
      <c r="K22" s="208">
        <v>100</v>
      </c>
      <c r="L22" s="208">
        <v>1</v>
      </c>
      <c r="M22" s="208">
        <v>100</v>
      </c>
    </row>
    <row r="23" spans="1:13" s="206" customFormat="1" ht="15.75">
      <c r="A23" s="207" t="s">
        <v>559</v>
      </c>
      <c r="B23" s="212">
        <v>6520</v>
      </c>
      <c r="C23" s="212">
        <v>1764</v>
      </c>
      <c r="D23" s="209">
        <v>163</v>
      </c>
      <c r="E23" s="213"/>
      <c r="F23" s="212">
        <v>1438</v>
      </c>
      <c r="G23" s="214">
        <v>0.815</v>
      </c>
      <c r="H23" s="212">
        <v>1643</v>
      </c>
      <c r="I23" s="215">
        <v>0.93</v>
      </c>
      <c r="J23" s="208">
        <v>6</v>
      </c>
      <c r="K23" s="208">
        <v>100</v>
      </c>
      <c r="L23" s="208">
        <v>1</v>
      </c>
      <c r="M23" s="208">
        <v>100</v>
      </c>
    </row>
    <row r="24" spans="1:13" s="206" customFormat="1" ht="15.75">
      <c r="A24" s="207" t="s">
        <v>560</v>
      </c>
      <c r="B24" s="212">
        <v>7870</v>
      </c>
      <c r="C24" s="212">
        <v>2450</v>
      </c>
      <c r="D24" s="209">
        <v>245</v>
      </c>
      <c r="E24" s="213"/>
      <c r="F24" s="212">
        <v>1841</v>
      </c>
      <c r="G24" s="214">
        <v>0.751</v>
      </c>
      <c r="H24" s="212">
        <v>2130</v>
      </c>
      <c r="I24" s="215">
        <v>0.87</v>
      </c>
      <c r="J24" s="208">
        <v>3</v>
      </c>
      <c r="K24" s="208">
        <v>100</v>
      </c>
      <c r="L24" s="208">
        <v>1</v>
      </c>
      <c r="M24" s="208">
        <v>100</v>
      </c>
    </row>
    <row r="25" spans="1:13" s="206" customFormat="1" ht="15.75">
      <c r="A25" s="207" t="s">
        <v>561</v>
      </c>
      <c r="B25" s="212">
        <v>6055</v>
      </c>
      <c r="C25" s="212">
        <v>1722</v>
      </c>
      <c r="D25" s="209">
        <v>95</v>
      </c>
      <c r="E25" s="213"/>
      <c r="F25" s="212">
        <v>1223</v>
      </c>
      <c r="G25" s="214">
        <v>0.71</v>
      </c>
      <c r="H25" s="212">
        <v>1457</v>
      </c>
      <c r="I25" s="215">
        <v>0.85</v>
      </c>
      <c r="J25" s="208">
        <v>3</v>
      </c>
      <c r="K25" s="208">
        <v>100</v>
      </c>
      <c r="L25" s="208">
        <v>1</v>
      </c>
      <c r="M25" s="208">
        <v>100</v>
      </c>
    </row>
    <row r="26" spans="1:13" s="206" customFormat="1" ht="15.75">
      <c r="A26" s="207" t="s">
        <v>562</v>
      </c>
      <c r="B26" s="212">
        <v>9874</v>
      </c>
      <c r="C26" s="212">
        <v>2735</v>
      </c>
      <c r="D26" s="209">
        <v>130</v>
      </c>
      <c r="E26" s="213"/>
      <c r="F26" s="212">
        <v>1942</v>
      </c>
      <c r="G26" s="214">
        <v>0.71</v>
      </c>
      <c r="H26" s="212">
        <v>2517</v>
      </c>
      <c r="I26" s="215">
        <v>0.92</v>
      </c>
      <c r="J26" s="208">
        <v>3</v>
      </c>
      <c r="K26" s="208">
        <v>100</v>
      </c>
      <c r="L26" s="208">
        <v>1</v>
      </c>
      <c r="M26" s="208">
        <v>100</v>
      </c>
    </row>
    <row r="27" spans="1:13" s="206" customFormat="1" ht="15.75">
      <c r="A27" s="207" t="s">
        <v>563</v>
      </c>
      <c r="B27" s="212">
        <v>6794</v>
      </c>
      <c r="C27" s="212">
        <v>2006</v>
      </c>
      <c r="D27" s="209">
        <v>140</v>
      </c>
      <c r="E27" s="210"/>
      <c r="F27" s="216">
        <f aca="true" t="shared" si="0" ref="F27:F32">C27*G27/100</f>
        <v>1504.5</v>
      </c>
      <c r="G27" s="210">
        <v>75</v>
      </c>
      <c r="H27" s="212">
        <f aca="true" t="shared" si="1" ref="H27:H32">C27</f>
        <v>2006</v>
      </c>
      <c r="I27" s="215">
        <v>1</v>
      </c>
      <c r="J27" s="210">
        <v>3</v>
      </c>
      <c r="K27" s="208">
        <v>100</v>
      </c>
      <c r="L27" s="208">
        <v>1</v>
      </c>
      <c r="M27" s="208">
        <v>100</v>
      </c>
    </row>
    <row r="28" spans="1:13" s="206" customFormat="1" ht="15.75">
      <c r="A28" s="207" t="s">
        <v>564</v>
      </c>
      <c r="B28" s="212">
        <v>6565</v>
      </c>
      <c r="C28" s="212">
        <v>1964</v>
      </c>
      <c r="D28" s="209">
        <v>170</v>
      </c>
      <c r="E28" s="210"/>
      <c r="F28" s="216">
        <f t="shared" si="0"/>
        <v>1571.2</v>
      </c>
      <c r="G28" s="210">
        <v>80</v>
      </c>
      <c r="H28" s="212">
        <f t="shared" si="1"/>
        <v>1964</v>
      </c>
      <c r="I28" s="215">
        <v>1</v>
      </c>
      <c r="J28" s="210">
        <v>3</v>
      </c>
      <c r="K28" s="208">
        <v>100</v>
      </c>
      <c r="L28" s="208">
        <v>1</v>
      </c>
      <c r="M28" s="208">
        <v>100</v>
      </c>
    </row>
    <row r="29" spans="1:13" s="206" customFormat="1" ht="15.75">
      <c r="A29" s="207" t="s">
        <v>565</v>
      </c>
      <c r="B29" s="212">
        <v>7199</v>
      </c>
      <c r="C29" s="212">
        <v>1930</v>
      </c>
      <c r="D29" s="209">
        <v>120</v>
      </c>
      <c r="E29" s="210"/>
      <c r="F29" s="216">
        <f t="shared" si="0"/>
        <v>1387.67</v>
      </c>
      <c r="G29" s="210">
        <v>71.9</v>
      </c>
      <c r="H29" s="212">
        <f t="shared" si="1"/>
        <v>1930</v>
      </c>
      <c r="I29" s="215">
        <v>1</v>
      </c>
      <c r="J29" s="210">
        <v>3</v>
      </c>
      <c r="K29" s="208">
        <v>100</v>
      </c>
      <c r="L29" s="208">
        <v>1</v>
      </c>
      <c r="M29" s="208">
        <v>100</v>
      </c>
    </row>
    <row r="30" spans="1:13" s="206" customFormat="1" ht="15.75">
      <c r="A30" s="217" t="s">
        <v>566</v>
      </c>
      <c r="B30" s="212">
        <v>5701</v>
      </c>
      <c r="C30" s="212">
        <v>1712</v>
      </c>
      <c r="D30" s="209">
        <v>100</v>
      </c>
      <c r="E30" s="210"/>
      <c r="F30" s="216">
        <f t="shared" si="0"/>
        <v>1326.8</v>
      </c>
      <c r="G30" s="210">
        <v>77.5</v>
      </c>
      <c r="H30" s="212">
        <f t="shared" si="1"/>
        <v>1712</v>
      </c>
      <c r="I30" s="215">
        <v>1</v>
      </c>
      <c r="J30" s="210">
        <v>3</v>
      </c>
      <c r="K30" s="208">
        <v>100</v>
      </c>
      <c r="L30" s="208">
        <v>1</v>
      </c>
      <c r="M30" s="208">
        <v>100</v>
      </c>
    </row>
    <row r="31" spans="1:13" s="206" customFormat="1" ht="15.75">
      <c r="A31" s="217" t="s">
        <v>567</v>
      </c>
      <c r="B31" s="212">
        <v>6555</v>
      </c>
      <c r="C31" s="212">
        <v>2021</v>
      </c>
      <c r="D31" s="209">
        <v>140</v>
      </c>
      <c r="E31" s="210"/>
      <c r="F31" s="216">
        <f t="shared" si="0"/>
        <v>1442.9940000000001</v>
      </c>
      <c r="G31" s="210">
        <v>71.4</v>
      </c>
      <c r="H31" s="212">
        <f t="shared" si="1"/>
        <v>2021</v>
      </c>
      <c r="I31" s="215">
        <v>1</v>
      </c>
      <c r="J31" s="210">
        <v>3</v>
      </c>
      <c r="K31" s="208">
        <v>100</v>
      </c>
      <c r="L31" s="208">
        <v>1</v>
      </c>
      <c r="M31" s="208">
        <v>100</v>
      </c>
    </row>
    <row r="32" spans="1:13" s="206" customFormat="1" ht="15.75">
      <c r="A32" s="217" t="s">
        <v>568</v>
      </c>
      <c r="B32" s="212">
        <v>5585</v>
      </c>
      <c r="C32" s="212">
        <v>1645</v>
      </c>
      <c r="D32" s="209">
        <v>140</v>
      </c>
      <c r="E32" s="210"/>
      <c r="F32" s="216">
        <f t="shared" si="0"/>
        <v>1306.13</v>
      </c>
      <c r="G32" s="210">
        <v>79.4</v>
      </c>
      <c r="H32" s="212">
        <f t="shared" si="1"/>
        <v>1645</v>
      </c>
      <c r="I32" s="215">
        <v>1</v>
      </c>
      <c r="J32" s="210">
        <v>3</v>
      </c>
      <c r="K32" s="208">
        <v>100</v>
      </c>
      <c r="L32" s="208">
        <v>1</v>
      </c>
      <c r="M32" s="208">
        <v>100</v>
      </c>
    </row>
  </sheetData>
  <mergeCells count="8">
    <mergeCell ref="A3:M3"/>
    <mergeCell ref="A4:M4"/>
    <mergeCell ref="L5:M5"/>
    <mergeCell ref="A5:A6"/>
    <mergeCell ref="B5:E5"/>
    <mergeCell ref="F5:G5"/>
    <mergeCell ref="H5:I5"/>
    <mergeCell ref="J5:K5"/>
  </mergeCells>
  <hyperlinks>
    <hyperlink ref="J5" r:id="rId1" display="_ftn1"/>
  </hyperlinks>
  <printOptions/>
  <pageMargins left="0.47" right="0.3" top="0.35" bottom="0.24" header="0.29" footer="0.18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4.7109375" style="206" customWidth="1"/>
    <col min="2" max="2" width="4.140625" style="206" hidden="1" customWidth="1"/>
    <col min="3" max="3" width="14.28125" style="206" customWidth="1"/>
    <col min="4" max="4" width="7.421875" style="206" customWidth="1"/>
    <col min="5" max="5" width="7.7109375" style="206" customWidth="1"/>
    <col min="6" max="6" width="8.8515625" style="224" customWidth="1"/>
    <col min="7" max="7" width="8.7109375" style="206" customWidth="1"/>
    <col min="8" max="8" width="6.421875" style="206" customWidth="1"/>
    <col min="9" max="9" width="7.421875" style="206" customWidth="1"/>
    <col min="10" max="10" width="9.00390625" style="206" customWidth="1"/>
    <col min="11" max="11" width="6.7109375" style="206" customWidth="1"/>
    <col min="12" max="12" width="7.8515625" style="206" customWidth="1"/>
    <col min="13" max="13" width="7.57421875" style="206" customWidth="1"/>
    <col min="14" max="14" width="7.8515625" style="206" customWidth="1"/>
    <col min="15" max="15" width="5.7109375" style="206" customWidth="1"/>
    <col min="16" max="16" width="9.140625" style="206" hidden="1" customWidth="1"/>
    <col min="17" max="17" width="4.140625" style="206" hidden="1" customWidth="1"/>
    <col min="18" max="18" width="7.57421875" style="206" customWidth="1"/>
    <col min="19" max="19" width="9.7109375" style="206" customWidth="1"/>
    <col min="20" max="20" width="6.8515625" style="206" customWidth="1"/>
    <col min="21" max="21" width="6.28125" style="206" customWidth="1"/>
    <col min="22" max="22" width="5.421875" style="206" customWidth="1"/>
    <col min="23" max="49" width="9.140625" style="222" customWidth="1"/>
    <col min="50" max="16384" width="9.140625" style="223" customWidth="1"/>
  </cols>
  <sheetData>
    <row r="1" spans="1:22" s="219" customFormat="1" ht="16.5">
      <c r="A1" s="640" t="s">
        <v>838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</row>
    <row r="2" spans="1:22" s="219" customFormat="1" ht="16.5">
      <c r="A2" s="699" t="s">
        <v>850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</row>
    <row r="3" spans="1:22" s="219" customFormat="1" ht="16.5">
      <c r="A3" s="173"/>
      <c r="B3" s="173"/>
      <c r="C3" s="173"/>
      <c r="D3" s="173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/>
      <c r="S3" s="173"/>
      <c r="T3" s="173"/>
      <c r="U3" s="173"/>
      <c r="V3" s="173"/>
    </row>
    <row r="4" spans="1:22" s="219" customFormat="1" ht="17.25" customHeight="1">
      <c r="A4" s="671" t="s">
        <v>264</v>
      </c>
      <c r="B4" s="674" t="s">
        <v>265</v>
      </c>
      <c r="C4" s="675"/>
      <c r="D4" s="671" t="s">
        <v>569</v>
      </c>
      <c r="E4" s="671" t="s">
        <v>266</v>
      </c>
      <c r="F4" s="680" t="s">
        <v>267</v>
      </c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  <c r="R4" s="674" t="s">
        <v>268</v>
      </c>
      <c r="S4" s="683"/>
      <c r="T4" s="675"/>
      <c r="U4" s="674" t="s">
        <v>269</v>
      </c>
      <c r="V4" s="675"/>
    </row>
    <row r="5" spans="1:22" s="219" customFormat="1" ht="45.75" customHeight="1">
      <c r="A5" s="672"/>
      <c r="B5" s="676"/>
      <c r="C5" s="677"/>
      <c r="D5" s="672"/>
      <c r="E5" s="672"/>
      <c r="F5" s="680" t="s">
        <v>270</v>
      </c>
      <c r="G5" s="681"/>
      <c r="H5" s="681"/>
      <c r="I5" s="682"/>
      <c r="J5" s="680" t="s">
        <v>271</v>
      </c>
      <c r="K5" s="682"/>
      <c r="L5" s="680" t="s">
        <v>272</v>
      </c>
      <c r="M5" s="682"/>
      <c r="N5" s="680" t="s">
        <v>273</v>
      </c>
      <c r="O5" s="681"/>
      <c r="P5" s="225"/>
      <c r="Q5" s="226"/>
      <c r="R5" s="678"/>
      <c r="S5" s="684"/>
      <c r="T5" s="679"/>
      <c r="U5" s="678"/>
      <c r="V5" s="679"/>
    </row>
    <row r="6" spans="1:22" s="219" customFormat="1" ht="51" customHeight="1">
      <c r="A6" s="673"/>
      <c r="B6" s="678"/>
      <c r="C6" s="679"/>
      <c r="D6" s="673"/>
      <c r="E6" s="673"/>
      <c r="F6" s="227" t="s">
        <v>274</v>
      </c>
      <c r="G6" s="227" t="s">
        <v>275</v>
      </c>
      <c r="H6" s="227" t="s">
        <v>276</v>
      </c>
      <c r="I6" s="227" t="s">
        <v>277</v>
      </c>
      <c r="J6" s="227" t="s">
        <v>278</v>
      </c>
      <c r="K6" s="227" t="s">
        <v>10</v>
      </c>
      <c r="L6" s="227" t="s">
        <v>278</v>
      </c>
      <c r="M6" s="227" t="s">
        <v>10</v>
      </c>
      <c r="N6" s="227" t="s">
        <v>278</v>
      </c>
      <c r="O6" s="227" t="s">
        <v>10</v>
      </c>
      <c r="P6" s="226"/>
      <c r="Q6" s="680" t="s">
        <v>279</v>
      </c>
      <c r="R6" s="682"/>
      <c r="S6" s="227" t="s">
        <v>280</v>
      </c>
      <c r="T6" s="227" t="s">
        <v>281</v>
      </c>
      <c r="U6" s="227" t="s">
        <v>282</v>
      </c>
      <c r="V6" s="227" t="s">
        <v>10</v>
      </c>
    </row>
    <row r="7" spans="1:49" s="220" customFormat="1" ht="16.5" customHeight="1">
      <c r="A7" s="168">
        <v>1</v>
      </c>
      <c r="B7" s="687">
        <v>2</v>
      </c>
      <c r="C7" s="688"/>
      <c r="D7" s="168"/>
      <c r="E7" s="168"/>
      <c r="F7" s="168">
        <v>3</v>
      </c>
      <c r="G7" s="168">
        <v>4</v>
      </c>
      <c r="H7" s="168">
        <v>5</v>
      </c>
      <c r="I7" s="168" t="s">
        <v>283</v>
      </c>
      <c r="J7" s="169">
        <v>7</v>
      </c>
      <c r="K7" s="168">
        <v>8</v>
      </c>
      <c r="L7" s="168">
        <v>9</v>
      </c>
      <c r="M7" s="168">
        <v>10</v>
      </c>
      <c r="N7" s="168">
        <v>11</v>
      </c>
      <c r="O7" s="172">
        <v>12</v>
      </c>
      <c r="P7" s="172"/>
      <c r="Q7" s="704">
        <v>13</v>
      </c>
      <c r="R7" s="705"/>
      <c r="S7" s="168">
        <v>14</v>
      </c>
      <c r="T7" s="168">
        <v>15</v>
      </c>
      <c r="U7" s="168">
        <v>16</v>
      </c>
      <c r="V7" s="168">
        <v>17</v>
      </c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</row>
    <row r="8" spans="1:22" s="323" customFormat="1" ht="16.5">
      <c r="A8" s="689" t="s">
        <v>284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1"/>
    </row>
    <row r="9" spans="1:22" s="333" customFormat="1" ht="15.75">
      <c r="A9" s="685">
        <v>1</v>
      </c>
      <c r="B9" s="686"/>
      <c r="C9" s="324" t="s">
        <v>290</v>
      </c>
      <c r="D9" s="325">
        <v>1855</v>
      </c>
      <c r="E9" s="325">
        <v>6098</v>
      </c>
      <c r="F9" s="326">
        <v>100</v>
      </c>
      <c r="G9" s="327">
        <v>10</v>
      </c>
      <c r="H9" s="327">
        <v>50</v>
      </c>
      <c r="I9" s="326">
        <f aca="true" t="shared" si="0" ref="I9:I14">F9+G9+H9</f>
        <v>160</v>
      </c>
      <c r="J9" s="325">
        <v>1243</v>
      </c>
      <c r="K9" s="328">
        <f>J9/D9*100</f>
        <v>67.00808625336927</v>
      </c>
      <c r="L9" s="325">
        <f aca="true" t="shared" si="1" ref="L9:L14">J9+I9</f>
        <v>1403</v>
      </c>
      <c r="M9" s="328">
        <f aca="true" t="shared" si="2" ref="M9:M14">L9/D9*100</f>
        <v>75.633423180593</v>
      </c>
      <c r="N9" s="325">
        <v>1516</v>
      </c>
      <c r="O9" s="329">
        <v>1</v>
      </c>
      <c r="P9" s="330"/>
      <c r="Q9" s="692">
        <v>3</v>
      </c>
      <c r="R9" s="693"/>
      <c r="S9" s="326">
        <v>3</v>
      </c>
      <c r="T9" s="331">
        <f>S9/Q9*100</f>
        <v>100</v>
      </c>
      <c r="U9" s="324"/>
      <c r="V9" s="332">
        <v>0</v>
      </c>
    </row>
    <row r="10" spans="1:22" s="333" customFormat="1" ht="15.75">
      <c r="A10" s="685">
        <v>2</v>
      </c>
      <c r="B10" s="686"/>
      <c r="C10" s="324" t="s">
        <v>139</v>
      </c>
      <c r="D10" s="325">
        <v>2358</v>
      </c>
      <c r="E10" s="325">
        <v>8920</v>
      </c>
      <c r="F10" s="326">
        <v>100</v>
      </c>
      <c r="G10" s="327">
        <v>10</v>
      </c>
      <c r="H10" s="327">
        <v>60</v>
      </c>
      <c r="I10" s="326">
        <f t="shared" si="0"/>
        <v>170</v>
      </c>
      <c r="J10" s="325">
        <v>1603</v>
      </c>
      <c r="K10" s="328">
        <f>J10/D10*100</f>
        <v>67.9813401187447</v>
      </c>
      <c r="L10" s="325">
        <f t="shared" si="1"/>
        <v>1773</v>
      </c>
      <c r="M10" s="328">
        <f t="shared" si="2"/>
        <v>75.19083969465649</v>
      </c>
      <c r="N10" s="325">
        <v>1313</v>
      </c>
      <c r="O10" s="324">
        <v>1005</v>
      </c>
      <c r="P10" s="334"/>
      <c r="Q10" s="692">
        <v>3</v>
      </c>
      <c r="R10" s="693"/>
      <c r="S10" s="326">
        <v>2</v>
      </c>
      <c r="T10" s="331">
        <f>S10/Q10*100</f>
        <v>66.66666666666666</v>
      </c>
      <c r="U10" s="324"/>
      <c r="V10" s="332">
        <v>0</v>
      </c>
    </row>
    <row r="11" spans="1:22" s="333" customFormat="1" ht="15.75">
      <c r="A11" s="685">
        <v>3</v>
      </c>
      <c r="B11" s="686"/>
      <c r="C11" s="324" t="s">
        <v>286</v>
      </c>
      <c r="D11" s="325">
        <v>1953</v>
      </c>
      <c r="E11" s="325">
        <v>8940</v>
      </c>
      <c r="F11" s="326">
        <v>100</v>
      </c>
      <c r="G11" s="327">
        <v>10</v>
      </c>
      <c r="H11" s="327">
        <v>50</v>
      </c>
      <c r="I11" s="326">
        <f t="shared" si="0"/>
        <v>160</v>
      </c>
      <c r="J11" s="325">
        <v>1377</v>
      </c>
      <c r="K11" s="328">
        <f>J11/D11*100</f>
        <v>70.50691244239631</v>
      </c>
      <c r="L11" s="325">
        <f t="shared" si="1"/>
        <v>1537</v>
      </c>
      <c r="M11" s="328">
        <f t="shared" si="2"/>
        <v>78.69943676395289</v>
      </c>
      <c r="N11" s="325">
        <v>2153</v>
      </c>
      <c r="O11" s="329">
        <v>1</v>
      </c>
      <c r="P11" s="330"/>
      <c r="Q11" s="692">
        <v>3</v>
      </c>
      <c r="R11" s="693"/>
      <c r="S11" s="326">
        <v>2</v>
      </c>
      <c r="T11" s="331">
        <f>S11/Q11*100</f>
        <v>66.66666666666666</v>
      </c>
      <c r="U11" s="324"/>
      <c r="V11" s="332">
        <v>0</v>
      </c>
    </row>
    <row r="12" spans="1:22" s="333" customFormat="1" ht="15.75">
      <c r="A12" s="685">
        <v>4</v>
      </c>
      <c r="B12" s="686"/>
      <c r="C12" s="324" t="s">
        <v>306</v>
      </c>
      <c r="D12" s="325">
        <v>1689</v>
      </c>
      <c r="E12" s="325">
        <v>5674</v>
      </c>
      <c r="F12" s="326">
        <v>100</v>
      </c>
      <c r="G12" s="327">
        <v>10</v>
      </c>
      <c r="H12" s="327">
        <v>55</v>
      </c>
      <c r="I12" s="326">
        <f t="shared" si="0"/>
        <v>165</v>
      </c>
      <c r="J12" s="325">
        <v>1114</v>
      </c>
      <c r="K12" s="328">
        <f>J12/D12*100</f>
        <v>65.95618709295441</v>
      </c>
      <c r="L12" s="325">
        <f t="shared" si="1"/>
        <v>1279</v>
      </c>
      <c r="M12" s="328">
        <f t="shared" si="2"/>
        <v>75.72528123149793</v>
      </c>
      <c r="N12" s="325">
        <v>3327</v>
      </c>
      <c r="O12" s="329">
        <v>1</v>
      </c>
      <c r="P12" s="330"/>
      <c r="Q12" s="692">
        <v>3</v>
      </c>
      <c r="R12" s="693"/>
      <c r="S12" s="326">
        <v>2</v>
      </c>
      <c r="T12" s="331">
        <f>S12/Q12*100</f>
        <v>66.66666666666666</v>
      </c>
      <c r="U12" s="324"/>
      <c r="V12" s="332">
        <v>0</v>
      </c>
    </row>
    <row r="13" spans="1:22" s="333" customFormat="1" ht="15.75">
      <c r="A13" s="697">
        <v>5</v>
      </c>
      <c r="B13" s="697"/>
      <c r="C13" s="324" t="s">
        <v>287</v>
      </c>
      <c r="D13" s="325">
        <v>1287</v>
      </c>
      <c r="E13" s="325">
        <v>4587</v>
      </c>
      <c r="F13" s="326">
        <v>100</v>
      </c>
      <c r="G13" s="327">
        <v>10</v>
      </c>
      <c r="H13" s="327">
        <v>40</v>
      </c>
      <c r="I13" s="326">
        <f t="shared" si="0"/>
        <v>150</v>
      </c>
      <c r="J13" s="327">
        <v>889</v>
      </c>
      <c r="K13" s="328">
        <f>J13/D13*100</f>
        <v>69.07536907536908</v>
      </c>
      <c r="L13" s="325">
        <f t="shared" si="1"/>
        <v>1039</v>
      </c>
      <c r="M13" s="328">
        <f t="shared" si="2"/>
        <v>80.73038073038073</v>
      </c>
      <c r="N13" s="325">
        <v>1417</v>
      </c>
      <c r="O13" s="329">
        <v>1</v>
      </c>
      <c r="P13" s="329"/>
      <c r="Q13" s="703">
        <v>3</v>
      </c>
      <c r="R13" s="703"/>
      <c r="S13" s="326">
        <v>3</v>
      </c>
      <c r="T13" s="331">
        <f>S13/Q13*100</f>
        <v>100</v>
      </c>
      <c r="U13" s="324"/>
      <c r="V13" s="332">
        <v>0</v>
      </c>
    </row>
    <row r="14" spans="1:22" s="333" customFormat="1" ht="15.75">
      <c r="A14" s="326">
        <v>6</v>
      </c>
      <c r="B14" s="326"/>
      <c r="C14" s="324" t="s">
        <v>570</v>
      </c>
      <c r="D14" s="325">
        <v>996</v>
      </c>
      <c r="E14" s="325">
        <v>3450</v>
      </c>
      <c r="F14" s="326">
        <v>15</v>
      </c>
      <c r="G14" s="327">
        <v>10</v>
      </c>
      <c r="H14" s="327">
        <v>20</v>
      </c>
      <c r="I14" s="326">
        <f t="shared" si="0"/>
        <v>45</v>
      </c>
      <c r="J14" s="335">
        <f>K14*D14/100</f>
        <v>786.84</v>
      </c>
      <c r="K14" s="328">
        <v>79</v>
      </c>
      <c r="L14" s="325">
        <f t="shared" si="1"/>
        <v>831.84</v>
      </c>
      <c r="M14" s="328">
        <f t="shared" si="2"/>
        <v>83.51807228915663</v>
      </c>
      <c r="N14" s="325">
        <v>996</v>
      </c>
      <c r="O14" s="329">
        <v>1</v>
      </c>
      <c r="P14" s="329"/>
      <c r="Q14" s="243"/>
      <c r="R14" s="243">
        <v>3</v>
      </c>
      <c r="S14" s="326">
        <v>0</v>
      </c>
      <c r="T14" s="331">
        <v>0</v>
      </c>
      <c r="U14" s="324"/>
      <c r="V14" s="332">
        <v>0</v>
      </c>
    </row>
    <row r="15" spans="1:22" s="333" customFormat="1" ht="15.75">
      <c r="A15" s="694" t="s">
        <v>288</v>
      </c>
      <c r="B15" s="695"/>
      <c r="C15" s="696"/>
      <c r="D15" s="336">
        <f aca="true" t="shared" si="3" ref="D15:I15">SUM(D9:D14)</f>
        <v>10138</v>
      </c>
      <c r="E15" s="337">
        <f t="shared" si="3"/>
        <v>37669</v>
      </c>
      <c r="F15" s="244">
        <f t="shared" si="3"/>
        <v>515</v>
      </c>
      <c r="G15" s="244">
        <f t="shared" si="3"/>
        <v>60</v>
      </c>
      <c r="H15" s="244">
        <f t="shared" si="3"/>
        <v>275</v>
      </c>
      <c r="I15" s="338">
        <f t="shared" si="3"/>
        <v>850</v>
      </c>
      <c r="J15" s="336">
        <f>SUM(J9:J13)</f>
        <v>6226</v>
      </c>
      <c r="K15" s="244"/>
      <c r="L15" s="336">
        <f>SUM(L9:L14)</f>
        <v>7862.84</v>
      </c>
      <c r="M15" s="244"/>
      <c r="N15" s="336">
        <f>SUM(N9:N14)</f>
        <v>10722</v>
      </c>
      <c r="O15" s="339"/>
      <c r="P15" s="340"/>
      <c r="Q15" s="694"/>
      <c r="R15" s="696"/>
      <c r="S15" s="244">
        <f>SUM(S9:S14)</f>
        <v>12</v>
      </c>
      <c r="T15" s="244"/>
      <c r="U15" s="244"/>
      <c r="V15" s="244"/>
    </row>
    <row r="16" spans="1:22" s="342" customFormat="1" ht="15.75">
      <c r="A16" s="700" t="s">
        <v>289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2"/>
    </row>
    <row r="17" spans="1:22" s="323" customFormat="1" ht="16.5">
      <c r="A17" s="685">
        <v>1</v>
      </c>
      <c r="B17" s="686"/>
      <c r="C17" s="324" t="s">
        <v>285</v>
      </c>
      <c r="D17" s="325">
        <v>1780</v>
      </c>
      <c r="E17" s="325">
        <v>4860</v>
      </c>
      <c r="F17" s="343">
        <v>0</v>
      </c>
      <c r="G17" s="327">
        <v>10</v>
      </c>
      <c r="H17" s="327">
        <v>25</v>
      </c>
      <c r="I17" s="327">
        <f>H17+G17+F17</f>
        <v>35</v>
      </c>
      <c r="J17" s="325">
        <v>1168</v>
      </c>
      <c r="K17" s="344">
        <f>J17/D17*100</f>
        <v>65.61797752808988</v>
      </c>
      <c r="L17" s="325">
        <f>J17+I17</f>
        <v>1203</v>
      </c>
      <c r="M17" s="332">
        <f>L17/D17</f>
        <v>0.6758426966292135</v>
      </c>
      <c r="N17" s="327"/>
      <c r="O17" s="324"/>
      <c r="P17" s="334"/>
      <c r="Q17" s="685">
        <v>3</v>
      </c>
      <c r="R17" s="686"/>
      <c r="S17" s="324"/>
      <c r="T17" s="332">
        <v>0</v>
      </c>
      <c r="U17" s="324"/>
      <c r="V17" s="332">
        <v>0</v>
      </c>
    </row>
    <row r="18" spans="1:22" s="323" customFormat="1" ht="16.5">
      <c r="A18" s="685">
        <v>2</v>
      </c>
      <c r="B18" s="686"/>
      <c r="C18" s="324" t="s">
        <v>291</v>
      </c>
      <c r="D18" s="325">
        <v>2081</v>
      </c>
      <c r="E18" s="325">
        <v>7135</v>
      </c>
      <c r="F18" s="326">
        <v>5</v>
      </c>
      <c r="G18" s="327">
        <v>15</v>
      </c>
      <c r="H18" s="327">
        <v>35</v>
      </c>
      <c r="I18" s="327">
        <f aca="true" t="shared" si="4" ref="I18:I38">H18+G18+F18</f>
        <v>55</v>
      </c>
      <c r="J18" s="325">
        <v>1297</v>
      </c>
      <c r="K18" s="344">
        <f aca="true" t="shared" si="5" ref="K18:K38">J18/D18*100</f>
        <v>62.32580490148967</v>
      </c>
      <c r="L18" s="325">
        <f aca="true" t="shared" si="6" ref="L18:L38">J18+I18</f>
        <v>1352</v>
      </c>
      <c r="M18" s="332">
        <f aca="true" t="shared" si="7" ref="M18:M38">L18/D18</f>
        <v>0.6496876501681884</v>
      </c>
      <c r="N18" s="327"/>
      <c r="O18" s="324"/>
      <c r="P18" s="334"/>
      <c r="Q18" s="685">
        <v>3</v>
      </c>
      <c r="R18" s="686"/>
      <c r="S18" s="324"/>
      <c r="T18" s="332">
        <v>0</v>
      </c>
      <c r="U18" s="326"/>
      <c r="V18" s="332">
        <v>0</v>
      </c>
    </row>
    <row r="19" spans="1:22" s="323" customFormat="1" ht="16.5">
      <c r="A19" s="685">
        <v>3</v>
      </c>
      <c r="B19" s="686"/>
      <c r="C19" s="324" t="s">
        <v>229</v>
      </c>
      <c r="D19" s="325">
        <v>3705</v>
      </c>
      <c r="E19" s="325">
        <v>11115</v>
      </c>
      <c r="F19" s="326">
        <v>5</v>
      </c>
      <c r="G19" s="327">
        <v>15</v>
      </c>
      <c r="H19" s="327">
        <v>35</v>
      </c>
      <c r="I19" s="327">
        <f t="shared" si="4"/>
        <v>55</v>
      </c>
      <c r="J19" s="325">
        <v>2251</v>
      </c>
      <c r="K19" s="344">
        <f t="shared" si="5"/>
        <v>60.7557354925776</v>
      </c>
      <c r="L19" s="325">
        <f t="shared" si="6"/>
        <v>2306</v>
      </c>
      <c r="M19" s="332">
        <f t="shared" si="7"/>
        <v>0.6224021592442645</v>
      </c>
      <c r="N19" s="327"/>
      <c r="O19" s="324"/>
      <c r="P19" s="334"/>
      <c r="Q19" s="685">
        <v>4</v>
      </c>
      <c r="R19" s="686"/>
      <c r="S19" s="324"/>
      <c r="T19" s="332">
        <v>0</v>
      </c>
      <c r="U19" s="324"/>
      <c r="V19" s="332">
        <v>0</v>
      </c>
    </row>
    <row r="20" spans="1:22" s="323" customFormat="1" ht="16.5">
      <c r="A20" s="685">
        <v>4</v>
      </c>
      <c r="B20" s="686"/>
      <c r="C20" s="324" t="s">
        <v>292</v>
      </c>
      <c r="D20" s="325">
        <v>1963</v>
      </c>
      <c r="E20" s="325">
        <v>6252</v>
      </c>
      <c r="F20" s="326">
        <v>5</v>
      </c>
      <c r="G20" s="327">
        <v>10</v>
      </c>
      <c r="H20" s="327">
        <v>35</v>
      </c>
      <c r="I20" s="327">
        <f t="shared" si="4"/>
        <v>50</v>
      </c>
      <c r="J20" s="325">
        <v>1266</v>
      </c>
      <c r="K20" s="344">
        <f t="shared" si="5"/>
        <v>64.49312277126846</v>
      </c>
      <c r="L20" s="325">
        <f t="shared" si="6"/>
        <v>1316</v>
      </c>
      <c r="M20" s="332">
        <f t="shared" si="7"/>
        <v>0.6704024452368823</v>
      </c>
      <c r="N20" s="327"/>
      <c r="O20" s="324"/>
      <c r="P20" s="334"/>
      <c r="Q20" s="685">
        <v>3</v>
      </c>
      <c r="R20" s="686"/>
      <c r="S20" s="324"/>
      <c r="T20" s="332">
        <v>0</v>
      </c>
      <c r="U20" s="324"/>
      <c r="V20" s="332">
        <v>0</v>
      </c>
    </row>
    <row r="21" spans="1:22" s="323" customFormat="1" ht="16.5">
      <c r="A21" s="685">
        <v>5</v>
      </c>
      <c r="B21" s="686"/>
      <c r="C21" s="324" t="s">
        <v>293</v>
      </c>
      <c r="D21" s="325">
        <v>2700</v>
      </c>
      <c r="E21" s="325">
        <v>8570</v>
      </c>
      <c r="F21" s="326">
        <v>5</v>
      </c>
      <c r="G21" s="327">
        <v>10</v>
      </c>
      <c r="H21" s="327">
        <v>35</v>
      </c>
      <c r="I21" s="327">
        <f t="shared" si="4"/>
        <v>50</v>
      </c>
      <c r="J21" s="325">
        <v>2050</v>
      </c>
      <c r="K21" s="344">
        <f t="shared" si="5"/>
        <v>75.92592592592592</v>
      </c>
      <c r="L21" s="325">
        <f t="shared" si="6"/>
        <v>2100</v>
      </c>
      <c r="M21" s="332">
        <f t="shared" si="7"/>
        <v>0.7777777777777778</v>
      </c>
      <c r="N21" s="327"/>
      <c r="O21" s="324"/>
      <c r="P21" s="334"/>
      <c r="Q21" s="685">
        <v>4</v>
      </c>
      <c r="R21" s="686"/>
      <c r="S21" s="324"/>
      <c r="T21" s="332">
        <v>0</v>
      </c>
      <c r="U21" s="324"/>
      <c r="V21" s="332">
        <v>0</v>
      </c>
    </row>
    <row r="22" spans="1:22" s="323" customFormat="1" ht="16.5">
      <c r="A22" s="685">
        <v>6</v>
      </c>
      <c r="B22" s="686"/>
      <c r="C22" s="324" t="s">
        <v>294</v>
      </c>
      <c r="D22" s="325">
        <v>1829</v>
      </c>
      <c r="E22" s="325">
        <v>6296</v>
      </c>
      <c r="F22" s="326">
        <v>5</v>
      </c>
      <c r="G22" s="327">
        <v>10</v>
      </c>
      <c r="H22" s="327">
        <v>35</v>
      </c>
      <c r="I22" s="327">
        <f t="shared" si="4"/>
        <v>50</v>
      </c>
      <c r="J22" s="325">
        <v>986</v>
      </c>
      <c r="K22" s="344">
        <f t="shared" si="5"/>
        <v>53.90924002186988</v>
      </c>
      <c r="L22" s="325">
        <f t="shared" si="6"/>
        <v>1036</v>
      </c>
      <c r="M22" s="332">
        <f t="shared" si="7"/>
        <v>0.5664297430289775</v>
      </c>
      <c r="N22" s="327"/>
      <c r="O22" s="324"/>
      <c r="P22" s="334"/>
      <c r="Q22" s="685">
        <v>3</v>
      </c>
      <c r="R22" s="686"/>
      <c r="S22" s="327"/>
      <c r="T22" s="332">
        <v>0</v>
      </c>
      <c r="U22" s="327"/>
      <c r="V22" s="332">
        <v>0</v>
      </c>
    </row>
    <row r="23" spans="1:22" s="323" customFormat="1" ht="16.5">
      <c r="A23" s="685">
        <v>7</v>
      </c>
      <c r="B23" s="686"/>
      <c r="C23" s="324" t="s">
        <v>295</v>
      </c>
      <c r="D23" s="325">
        <v>3431</v>
      </c>
      <c r="E23" s="325">
        <v>11032</v>
      </c>
      <c r="F23" s="326">
        <v>15</v>
      </c>
      <c r="G23" s="327">
        <v>15</v>
      </c>
      <c r="H23" s="327">
        <v>35</v>
      </c>
      <c r="I23" s="327">
        <f t="shared" si="4"/>
        <v>65</v>
      </c>
      <c r="J23" s="325">
        <v>2365</v>
      </c>
      <c r="K23" s="344">
        <f t="shared" si="5"/>
        <v>68.93034100845234</v>
      </c>
      <c r="L23" s="325">
        <f t="shared" si="6"/>
        <v>2430</v>
      </c>
      <c r="M23" s="332">
        <f t="shared" si="7"/>
        <v>0.7082483241037598</v>
      </c>
      <c r="N23" s="327"/>
      <c r="O23" s="324"/>
      <c r="P23" s="334"/>
      <c r="Q23" s="685">
        <v>4</v>
      </c>
      <c r="R23" s="686"/>
      <c r="S23" s="327"/>
      <c r="T23" s="332">
        <v>0</v>
      </c>
      <c r="U23" s="324"/>
      <c r="V23" s="332">
        <v>0</v>
      </c>
    </row>
    <row r="24" spans="1:22" s="333" customFormat="1" ht="15.75">
      <c r="A24" s="685">
        <v>8</v>
      </c>
      <c r="B24" s="686"/>
      <c r="C24" s="324" t="s">
        <v>296</v>
      </c>
      <c r="D24" s="325">
        <v>2480</v>
      </c>
      <c r="E24" s="325">
        <v>7662</v>
      </c>
      <c r="F24" s="326">
        <v>5</v>
      </c>
      <c r="G24" s="327">
        <v>15</v>
      </c>
      <c r="H24" s="327">
        <v>35</v>
      </c>
      <c r="I24" s="327">
        <f t="shared" si="4"/>
        <v>55</v>
      </c>
      <c r="J24" s="325">
        <v>1280</v>
      </c>
      <c r="K24" s="344">
        <f t="shared" si="5"/>
        <v>51.61290322580645</v>
      </c>
      <c r="L24" s="325">
        <f t="shared" si="6"/>
        <v>1335</v>
      </c>
      <c r="M24" s="332">
        <f t="shared" si="7"/>
        <v>0.5383064516129032</v>
      </c>
      <c r="N24" s="327"/>
      <c r="O24" s="324"/>
      <c r="P24" s="334"/>
      <c r="Q24" s="685">
        <v>3</v>
      </c>
      <c r="R24" s="686"/>
      <c r="S24" s="327"/>
      <c r="T24" s="332">
        <v>0</v>
      </c>
      <c r="U24" s="326"/>
      <c r="V24" s="332">
        <v>0</v>
      </c>
    </row>
    <row r="25" spans="1:22" s="323" customFormat="1" ht="16.5">
      <c r="A25" s="685">
        <v>9</v>
      </c>
      <c r="B25" s="686"/>
      <c r="C25" s="324" t="s">
        <v>297</v>
      </c>
      <c r="D25" s="325">
        <v>2134</v>
      </c>
      <c r="E25" s="325">
        <v>6791</v>
      </c>
      <c r="F25" s="326">
        <v>5</v>
      </c>
      <c r="G25" s="327">
        <v>10</v>
      </c>
      <c r="H25" s="327">
        <v>35</v>
      </c>
      <c r="I25" s="327">
        <f t="shared" si="4"/>
        <v>50</v>
      </c>
      <c r="J25" s="325">
        <v>1187</v>
      </c>
      <c r="K25" s="344">
        <f t="shared" si="5"/>
        <v>55.6232427366448</v>
      </c>
      <c r="L25" s="325">
        <f t="shared" si="6"/>
        <v>1237</v>
      </c>
      <c r="M25" s="332">
        <f t="shared" si="7"/>
        <v>0.5796626054358013</v>
      </c>
      <c r="N25" s="327"/>
      <c r="O25" s="324"/>
      <c r="P25" s="334"/>
      <c r="Q25" s="685">
        <v>3</v>
      </c>
      <c r="R25" s="686"/>
      <c r="S25" s="327"/>
      <c r="T25" s="332">
        <v>0</v>
      </c>
      <c r="U25" s="324"/>
      <c r="V25" s="332">
        <v>0</v>
      </c>
    </row>
    <row r="26" spans="1:22" s="323" customFormat="1" ht="16.5">
      <c r="A26" s="685">
        <v>10</v>
      </c>
      <c r="B26" s="686"/>
      <c r="C26" s="324" t="s">
        <v>298</v>
      </c>
      <c r="D26" s="325">
        <v>2159</v>
      </c>
      <c r="E26" s="325">
        <v>7570</v>
      </c>
      <c r="F26" s="326">
        <v>5</v>
      </c>
      <c r="G26" s="327">
        <v>15</v>
      </c>
      <c r="H26" s="327">
        <v>35</v>
      </c>
      <c r="I26" s="327">
        <f t="shared" si="4"/>
        <v>55</v>
      </c>
      <c r="J26" s="325">
        <v>1305</v>
      </c>
      <c r="K26" s="344">
        <f t="shared" si="5"/>
        <v>60.44465030106531</v>
      </c>
      <c r="L26" s="325">
        <f t="shared" si="6"/>
        <v>1360</v>
      </c>
      <c r="M26" s="332">
        <f t="shared" si="7"/>
        <v>0.6299212598425197</v>
      </c>
      <c r="N26" s="327"/>
      <c r="O26" s="324"/>
      <c r="P26" s="334"/>
      <c r="Q26" s="685">
        <v>4</v>
      </c>
      <c r="R26" s="686"/>
      <c r="S26" s="327"/>
      <c r="T26" s="332">
        <v>0</v>
      </c>
      <c r="U26" s="324"/>
      <c r="V26" s="332">
        <v>0</v>
      </c>
    </row>
    <row r="27" spans="1:22" s="323" customFormat="1" ht="16.5">
      <c r="A27" s="685">
        <v>11</v>
      </c>
      <c r="B27" s="686"/>
      <c r="C27" s="324" t="s">
        <v>299</v>
      </c>
      <c r="D27" s="325">
        <v>1760</v>
      </c>
      <c r="E27" s="325">
        <v>6205</v>
      </c>
      <c r="F27" s="326">
        <v>5</v>
      </c>
      <c r="G27" s="327">
        <v>10</v>
      </c>
      <c r="H27" s="327">
        <v>35</v>
      </c>
      <c r="I27" s="327">
        <f t="shared" si="4"/>
        <v>50</v>
      </c>
      <c r="J27" s="325">
        <v>1008</v>
      </c>
      <c r="K27" s="344">
        <f t="shared" si="5"/>
        <v>57.27272727272727</v>
      </c>
      <c r="L27" s="325">
        <f t="shared" si="6"/>
        <v>1058</v>
      </c>
      <c r="M27" s="332">
        <f t="shared" si="7"/>
        <v>0.6011363636363637</v>
      </c>
      <c r="N27" s="327"/>
      <c r="O27" s="324"/>
      <c r="P27" s="334"/>
      <c r="Q27" s="685">
        <v>3</v>
      </c>
      <c r="R27" s="686"/>
      <c r="S27" s="327"/>
      <c r="T27" s="332">
        <v>0</v>
      </c>
      <c r="U27" s="324">
        <v>1</v>
      </c>
      <c r="V27" s="332">
        <v>0</v>
      </c>
    </row>
    <row r="28" spans="1:22" s="323" customFormat="1" ht="16.5">
      <c r="A28" s="685">
        <v>12</v>
      </c>
      <c r="B28" s="686"/>
      <c r="C28" s="324" t="s">
        <v>300</v>
      </c>
      <c r="D28" s="325">
        <v>2819</v>
      </c>
      <c r="E28" s="325">
        <v>9060</v>
      </c>
      <c r="F28" s="326">
        <v>5</v>
      </c>
      <c r="G28" s="327">
        <v>10</v>
      </c>
      <c r="H28" s="327">
        <v>35</v>
      </c>
      <c r="I28" s="327">
        <f t="shared" si="4"/>
        <v>50</v>
      </c>
      <c r="J28" s="325">
        <v>1503</v>
      </c>
      <c r="K28" s="344">
        <f t="shared" si="5"/>
        <v>53.316778999645265</v>
      </c>
      <c r="L28" s="325">
        <f t="shared" si="6"/>
        <v>1553</v>
      </c>
      <c r="M28" s="332">
        <f t="shared" si="7"/>
        <v>0.5509045760908123</v>
      </c>
      <c r="N28" s="327"/>
      <c r="O28" s="324"/>
      <c r="P28" s="334"/>
      <c r="Q28" s="685">
        <v>7</v>
      </c>
      <c r="R28" s="686"/>
      <c r="S28" s="327"/>
      <c r="T28" s="332">
        <v>0</v>
      </c>
      <c r="U28" s="324"/>
      <c r="V28" s="332">
        <v>0</v>
      </c>
    </row>
    <row r="29" spans="1:22" s="323" customFormat="1" ht="16.5">
      <c r="A29" s="685">
        <v>13</v>
      </c>
      <c r="B29" s="686"/>
      <c r="C29" s="324" t="s">
        <v>301</v>
      </c>
      <c r="D29" s="325">
        <v>1560</v>
      </c>
      <c r="E29" s="325">
        <v>5953</v>
      </c>
      <c r="F29" s="326">
        <v>0</v>
      </c>
      <c r="G29" s="327">
        <v>15</v>
      </c>
      <c r="H29" s="327">
        <v>35</v>
      </c>
      <c r="I29" s="327">
        <f t="shared" si="4"/>
        <v>50</v>
      </c>
      <c r="J29" s="325">
        <v>949</v>
      </c>
      <c r="K29" s="344">
        <f t="shared" si="5"/>
        <v>60.83333333333333</v>
      </c>
      <c r="L29" s="325">
        <f t="shared" si="6"/>
        <v>999</v>
      </c>
      <c r="M29" s="332">
        <f t="shared" si="7"/>
        <v>0.6403846153846153</v>
      </c>
      <c r="N29" s="327"/>
      <c r="O29" s="324"/>
      <c r="P29" s="334"/>
      <c r="Q29" s="685">
        <v>4</v>
      </c>
      <c r="R29" s="686"/>
      <c r="S29" s="327"/>
      <c r="T29" s="332">
        <v>0</v>
      </c>
      <c r="U29" s="324"/>
      <c r="V29" s="332">
        <v>0</v>
      </c>
    </row>
    <row r="30" spans="1:22" s="323" customFormat="1" ht="16.5">
      <c r="A30" s="685">
        <v>14</v>
      </c>
      <c r="B30" s="686"/>
      <c r="C30" s="324" t="s">
        <v>302</v>
      </c>
      <c r="D30" s="325">
        <v>1671</v>
      </c>
      <c r="E30" s="325">
        <v>5185</v>
      </c>
      <c r="F30" s="326">
        <v>20</v>
      </c>
      <c r="G30" s="327">
        <v>10</v>
      </c>
      <c r="H30" s="327">
        <v>35</v>
      </c>
      <c r="I30" s="327">
        <f t="shared" si="4"/>
        <v>65</v>
      </c>
      <c r="J30" s="325">
        <v>864</v>
      </c>
      <c r="K30" s="344">
        <f t="shared" si="5"/>
        <v>51.70556552962297</v>
      </c>
      <c r="L30" s="325">
        <f t="shared" si="6"/>
        <v>929</v>
      </c>
      <c r="M30" s="332">
        <f t="shared" si="7"/>
        <v>0.5559545182525434</v>
      </c>
      <c r="N30" s="327"/>
      <c r="O30" s="324"/>
      <c r="P30" s="334"/>
      <c r="Q30" s="685">
        <v>3</v>
      </c>
      <c r="R30" s="686"/>
      <c r="S30" s="327"/>
      <c r="T30" s="332">
        <v>0</v>
      </c>
      <c r="U30" s="324"/>
      <c r="V30" s="332">
        <v>0</v>
      </c>
    </row>
    <row r="31" spans="1:22" s="323" customFormat="1" ht="16.5">
      <c r="A31" s="685">
        <v>15</v>
      </c>
      <c r="B31" s="686"/>
      <c r="C31" s="324" t="s">
        <v>303</v>
      </c>
      <c r="D31" s="325">
        <v>4248</v>
      </c>
      <c r="E31" s="325">
        <v>13331</v>
      </c>
      <c r="F31" s="326">
        <v>5</v>
      </c>
      <c r="G31" s="327">
        <v>10</v>
      </c>
      <c r="H31" s="327">
        <v>35</v>
      </c>
      <c r="I31" s="327">
        <f t="shared" si="4"/>
        <v>50</v>
      </c>
      <c r="J31" s="325">
        <v>2163</v>
      </c>
      <c r="K31" s="344">
        <f t="shared" si="5"/>
        <v>50.9180790960452</v>
      </c>
      <c r="L31" s="325">
        <f t="shared" si="6"/>
        <v>2213</v>
      </c>
      <c r="M31" s="332">
        <f t="shared" si="7"/>
        <v>0.5209510357815442</v>
      </c>
      <c r="N31" s="327"/>
      <c r="O31" s="324"/>
      <c r="P31" s="334"/>
      <c r="Q31" s="685">
        <v>5</v>
      </c>
      <c r="R31" s="686"/>
      <c r="S31" s="327"/>
      <c r="T31" s="332">
        <v>0</v>
      </c>
      <c r="U31" s="324"/>
      <c r="V31" s="332">
        <v>0</v>
      </c>
    </row>
    <row r="32" spans="1:22" s="323" customFormat="1" ht="16.5">
      <c r="A32" s="697">
        <v>16</v>
      </c>
      <c r="B32" s="697"/>
      <c r="C32" s="324" t="s">
        <v>304</v>
      </c>
      <c r="D32" s="325">
        <v>1690</v>
      </c>
      <c r="E32" s="325">
        <v>4852</v>
      </c>
      <c r="F32" s="326">
        <v>0</v>
      </c>
      <c r="G32" s="327">
        <v>15</v>
      </c>
      <c r="H32" s="327">
        <v>35</v>
      </c>
      <c r="I32" s="327">
        <f t="shared" si="4"/>
        <v>50</v>
      </c>
      <c r="J32" s="325">
        <v>947</v>
      </c>
      <c r="K32" s="344">
        <f t="shared" si="5"/>
        <v>56.03550295857988</v>
      </c>
      <c r="L32" s="325">
        <f t="shared" si="6"/>
        <v>997</v>
      </c>
      <c r="M32" s="332">
        <f t="shared" si="7"/>
        <v>0.5899408284023668</v>
      </c>
      <c r="N32" s="327"/>
      <c r="O32" s="324"/>
      <c r="P32" s="324"/>
      <c r="Q32" s="697">
        <v>3</v>
      </c>
      <c r="R32" s="697"/>
      <c r="S32" s="324"/>
      <c r="T32" s="332">
        <v>0</v>
      </c>
      <c r="U32" s="324"/>
      <c r="V32" s="332">
        <v>0</v>
      </c>
    </row>
    <row r="33" spans="1:22" s="323" customFormat="1" ht="16.5">
      <c r="A33" s="685">
        <v>17</v>
      </c>
      <c r="B33" s="686"/>
      <c r="C33" s="324" t="s">
        <v>305</v>
      </c>
      <c r="D33" s="325">
        <v>1684</v>
      </c>
      <c r="E33" s="325">
        <v>5701</v>
      </c>
      <c r="F33" s="326">
        <v>5</v>
      </c>
      <c r="G33" s="327">
        <v>10</v>
      </c>
      <c r="H33" s="327">
        <v>35</v>
      </c>
      <c r="I33" s="327">
        <f t="shared" si="4"/>
        <v>50</v>
      </c>
      <c r="J33" s="325">
        <v>889</v>
      </c>
      <c r="K33" s="344">
        <f t="shared" si="5"/>
        <v>52.79097387173397</v>
      </c>
      <c r="L33" s="325">
        <f t="shared" si="6"/>
        <v>939</v>
      </c>
      <c r="M33" s="332">
        <f t="shared" si="7"/>
        <v>0.5576009501187649</v>
      </c>
      <c r="N33" s="327"/>
      <c r="O33" s="324"/>
      <c r="P33" s="334"/>
      <c r="Q33" s="685">
        <v>3</v>
      </c>
      <c r="R33" s="686"/>
      <c r="S33" s="324"/>
      <c r="T33" s="332">
        <v>0</v>
      </c>
      <c r="U33" s="324"/>
      <c r="V33" s="332">
        <v>0</v>
      </c>
    </row>
    <row r="34" spans="1:22" s="323" customFormat="1" ht="16.5">
      <c r="A34" s="685">
        <v>18</v>
      </c>
      <c r="B34" s="686"/>
      <c r="C34" s="324" t="s">
        <v>307</v>
      </c>
      <c r="D34" s="325">
        <v>2513</v>
      </c>
      <c r="E34" s="325">
        <v>9022</v>
      </c>
      <c r="F34" s="326">
        <v>5</v>
      </c>
      <c r="G34" s="327">
        <v>10</v>
      </c>
      <c r="H34" s="327">
        <v>35</v>
      </c>
      <c r="I34" s="327">
        <f t="shared" si="4"/>
        <v>50</v>
      </c>
      <c r="J34" s="325">
        <v>1472</v>
      </c>
      <c r="K34" s="344">
        <f t="shared" si="5"/>
        <v>58.57540787902905</v>
      </c>
      <c r="L34" s="325">
        <f t="shared" si="6"/>
        <v>1522</v>
      </c>
      <c r="M34" s="332">
        <f t="shared" si="7"/>
        <v>0.6056506167926781</v>
      </c>
      <c r="N34" s="327"/>
      <c r="O34" s="324"/>
      <c r="P34" s="334"/>
      <c r="Q34" s="685">
        <v>5</v>
      </c>
      <c r="R34" s="686"/>
      <c r="S34" s="324"/>
      <c r="T34" s="332">
        <v>0</v>
      </c>
      <c r="U34" s="324"/>
      <c r="V34" s="332">
        <v>0</v>
      </c>
    </row>
    <row r="35" spans="1:22" s="345" customFormat="1" ht="12.75">
      <c r="A35" s="685">
        <v>19</v>
      </c>
      <c r="B35" s="686"/>
      <c r="C35" s="324" t="s">
        <v>308</v>
      </c>
      <c r="D35" s="325">
        <v>1530</v>
      </c>
      <c r="E35" s="325">
        <v>4925</v>
      </c>
      <c r="F35" s="326">
        <v>0</v>
      </c>
      <c r="G35" s="327">
        <v>15</v>
      </c>
      <c r="H35" s="327">
        <v>35</v>
      </c>
      <c r="I35" s="327">
        <f t="shared" si="4"/>
        <v>50</v>
      </c>
      <c r="J35" s="325">
        <v>900</v>
      </c>
      <c r="K35" s="344">
        <f t="shared" si="5"/>
        <v>58.82352941176471</v>
      </c>
      <c r="L35" s="325">
        <f t="shared" si="6"/>
        <v>950</v>
      </c>
      <c r="M35" s="332">
        <f t="shared" si="7"/>
        <v>0.6209150326797386</v>
      </c>
      <c r="N35" s="327"/>
      <c r="O35" s="324"/>
      <c r="P35" s="334"/>
      <c r="Q35" s="685">
        <v>3</v>
      </c>
      <c r="R35" s="686"/>
      <c r="S35" s="324"/>
      <c r="T35" s="332">
        <v>0</v>
      </c>
      <c r="U35" s="324"/>
      <c r="V35" s="332">
        <v>0</v>
      </c>
    </row>
    <row r="36" spans="1:22" s="323" customFormat="1" ht="16.5">
      <c r="A36" s="685">
        <v>20</v>
      </c>
      <c r="B36" s="686"/>
      <c r="C36" s="324" t="s">
        <v>309</v>
      </c>
      <c r="D36" s="325">
        <v>2624</v>
      </c>
      <c r="E36" s="325">
        <v>9679</v>
      </c>
      <c r="F36" s="326">
        <v>5</v>
      </c>
      <c r="G36" s="327">
        <v>10</v>
      </c>
      <c r="H36" s="327">
        <v>35</v>
      </c>
      <c r="I36" s="327">
        <f t="shared" si="4"/>
        <v>50</v>
      </c>
      <c r="J36" s="325">
        <v>1597</v>
      </c>
      <c r="K36" s="344">
        <f t="shared" si="5"/>
        <v>60.86128048780488</v>
      </c>
      <c r="L36" s="325">
        <f t="shared" si="6"/>
        <v>1647</v>
      </c>
      <c r="M36" s="332">
        <f t="shared" si="7"/>
        <v>0.6276676829268293</v>
      </c>
      <c r="N36" s="327"/>
      <c r="O36" s="324"/>
      <c r="P36" s="334"/>
      <c r="Q36" s="685">
        <v>3</v>
      </c>
      <c r="R36" s="686"/>
      <c r="S36" s="324"/>
      <c r="T36" s="332">
        <v>0</v>
      </c>
      <c r="U36" s="324"/>
      <c r="V36" s="332">
        <v>0</v>
      </c>
    </row>
    <row r="37" spans="1:49" s="347" customFormat="1" ht="12.75">
      <c r="A37" s="685">
        <v>21</v>
      </c>
      <c r="B37" s="686"/>
      <c r="C37" s="324" t="s">
        <v>310</v>
      </c>
      <c r="D37" s="325">
        <v>1663</v>
      </c>
      <c r="E37" s="325">
        <v>5557</v>
      </c>
      <c r="F37" s="326">
        <v>5</v>
      </c>
      <c r="G37" s="327">
        <v>10</v>
      </c>
      <c r="H37" s="327">
        <v>35</v>
      </c>
      <c r="I37" s="327">
        <f t="shared" si="4"/>
        <v>50</v>
      </c>
      <c r="J37" s="325">
        <v>1087</v>
      </c>
      <c r="K37" s="344">
        <f t="shared" si="5"/>
        <v>65.36380036079375</v>
      </c>
      <c r="L37" s="325">
        <f t="shared" si="6"/>
        <v>1137</v>
      </c>
      <c r="M37" s="332">
        <f t="shared" si="7"/>
        <v>0.6837041491280818</v>
      </c>
      <c r="N37" s="327"/>
      <c r="O37" s="324"/>
      <c r="P37" s="334"/>
      <c r="Q37" s="685">
        <v>4</v>
      </c>
      <c r="R37" s="686"/>
      <c r="S37" s="324"/>
      <c r="T37" s="332">
        <v>0</v>
      </c>
      <c r="U37" s="324"/>
      <c r="V37" s="332">
        <v>0</v>
      </c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</row>
    <row r="38" spans="1:49" s="347" customFormat="1" ht="12.75">
      <c r="A38" s="685">
        <v>22</v>
      </c>
      <c r="B38" s="686"/>
      <c r="C38" s="324" t="s">
        <v>311</v>
      </c>
      <c r="D38" s="325">
        <v>1149</v>
      </c>
      <c r="E38" s="325">
        <v>3494</v>
      </c>
      <c r="F38" s="326">
        <v>5</v>
      </c>
      <c r="G38" s="327">
        <v>10</v>
      </c>
      <c r="H38" s="327">
        <v>35</v>
      </c>
      <c r="I38" s="327">
        <f t="shared" si="4"/>
        <v>50</v>
      </c>
      <c r="J38" s="325">
        <v>608</v>
      </c>
      <c r="K38" s="344">
        <f t="shared" si="5"/>
        <v>52.91557876414274</v>
      </c>
      <c r="L38" s="325">
        <f t="shared" si="6"/>
        <v>658</v>
      </c>
      <c r="M38" s="332">
        <f t="shared" si="7"/>
        <v>0.5726718885987816</v>
      </c>
      <c r="N38" s="327"/>
      <c r="O38" s="324"/>
      <c r="P38" s="334"/>
      <c r="Q38" s="685">
        <v>3</v>
      </c>
      <c r="R38" s="686"/>
      <c r="S38" s="324"/>
      <c r="T38" s="332">
        <v>0</v>
      </c>
      <c r="U38" s="324"/>
      <c r="V38" s="332">
        <v>0</v>
      </c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</row>
    <row r="39" spans="1:49" s="347" customFormat="1" ht="12.75">
      <c r="A39" s="706" t="s">
        <v>312</v>
      </c>
      <c r="B39" s="707"/>
      <c r="C39" s="708"/>
      <c r="D39" s="348">
        <f aca="true" t="shared" si="8" ref="D39:J39">SUM(D17:D38)</f>
        <v>49173</v>
      </c>
      <c r="E39" s="348">
        <f t="shared" si="8"/>
        <v>160247</v>
      </c>
      <c r="F39" s="349">
        <f t="shared" si="8"/>
        <v>115</v>
      </c>
      <c r="G39" s="350">
        <f t="shared" si="8"/>
        <v>260</v>
      </c>
      <c r="H39" s="350">
        <f t="shared" si="8"/>
        <v>760</v>
      </c>
      <c r="I39" s="350">
        <f t="shared" si="8"/>
        <v>1135</v>
      </c>
      <c r="J39" s="348">
        <f t="shared" si="8"/>
        <v>29142</v>
      </c>
      <c r="K39" s="351"/>
      <c r="L39" s="327"/>
      <c r="M39" s="351"/>
      <c r="N39" s="327"/>
      <c r="O39" s="351"/>
      <c r="P39" s="341"/>
      <c r="Q39" s="700"/>
      <c r="R39" s="702"/>
      <c r="S39" s="324"/>
      <c r="T39" s="324"/>
      <c r="U39" s="327"/>
      <c r="V39" s="324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</row>
    <row r="40" spans="1:49" s="347" customFormat="1" ht="12.75">
      <c r="A40" s="700" t="s">
        <v>313</v>
      </c>
      <c r="B40" s="701"/>
      <c r="C40" s="702"/>
      <c r="D40" s="348">
        <f aca="true" t="shared" si="9" ref="D40:J40">D39+D15</f>
        <v>59311</v>
      </c>
      <c r="E40" s="348">
        <f t="shared" si="9"/>
        <v>197916</v>
      </c>
      <c r="F40" s="349">
        <f t="shared" si="9"/>
        <v>630</v>
      </c>
      <c r="G40" s="350">
        <f t="shared" si="9"/>
        <v>320</v>
      </c>
      <c r="H40" s="350">
        <f t="shared" si="9"/>
        <v>1035</v>
      </c>
      <c r="I40" s="352">
        <f t="shared" si="9"/>
        <v>1985</v>
      </c>
      <c r="J40" s="348">
        <f t="shared" si="9"/>
        <v>35368</v>
      </c>
      <c r="K40" s="351"/>
      <c r="L40" s="350"/>
      <c r="M40" s="351"/>
      <c r="N40" s="351"/>
      <c r="O40" s="351"/>
      <c r="P40" s="341"/>
      <c r="Q40" s="700"/>
      <c r="R40" s="702"/>
      <c r="S40" s="349">
        <v>12</v>
      </c>
      <c r="T40" s="349"/>
      <c r="U40" s="349"/>
      <c r="V40" s="351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</row>
    <row r="41" spans="1:22" ht="15">
      <c r="A41" s="165"/>
      <c r="B41" s="165"/>
      <c r="C41" s="165"/>
      <c r="D41" s="165"/>
      <c r="E41" s="165"/>
      <c r="F41" s="221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</row>
    <row r="42" ht="18.75">
      <c r="A42" s="166"/>
    </row>
    <row r="43" ht="18.75">
      <c r="A43" s="167"/>
    </row>
    <row r="44" ht="18.75">
      <c r="A44" s="167"/>
    </row>
    <row r="45" ht="18.75">
      <c r="A45" s="167"/>
    </row>
    <row r="46" ht="18.75">
      <c r="A46" s="167"/>
    </row>
    <row r="47" ht="18.75">
      <c r="A47" s="167"/>
    </row>
    <row r="48" ht="18.75">
      <c r="A48" s="167"/>
    </row>
    <row r="49" ht="18.75">
      <c r="A49" s="167"/>
    </row>
  </sheetData>
  <sheetProtection/>
  <mergeCells count="78">
    <mergeCell ref="A39:C39"/>
    <mergeCell ref="Q39:R39"/>
    <mergeCell ref="A40:C40"/>
    <mergeCell ref="Q40:R40"/>
    <mergeCell ref="A37:B37"/>
    <mergeCell ref="Q37:R37"/>
    <mergeCell ref="A38:B38"/>
    <mergeCell ref="Q38:R38"/>
    <mergeCell ref="A35:B35"/>
    <mergeCell ref="Q35:R35"/>
    <mergeCell ref="A36:B36"/>
    <mergeCell ref="Q36:R36"/>
    <mergeCell ref="Q6:R6"/>
    <mergeCell ref="A33:B33"/>
    <mergeCell ref="Q33:R33"/>
    <mergeCell ref="A34:B34"/>
    <mergeCell ref="Q34:R34"/>
    <mergeCell ref="Q13:R13"/>
    <mergeCell ref="Q9:R9"/>
    <mergeCell ref="Q7:R7"/>
    <mergeCell ref="Q20:R20"/>
    <mergeCell ref="Q19:R19"/>
    <mergeCell ref="Q22:R22"/>
    <mergeCell ref="Q21:R21"/>
    <mergeCell ref="A16:V16"/>
    <mergeCell ref="A21:B21"/>
    <mergeCell ref="A22:B22"/>
    <mergeCell ref="Q18:R18"/>
    <mergeCell ref="Q17:R17"/>
    <mergeCell ref="A19:B19"/>
    <mergeCell ref="A20:B20"/>
    <mergeCell ref="A17:B17"/>
    <mergeCell ref="Q26:R26"/>
    <mergeCell ref="Q25:R25"/>
    <mergeCell ref="Q24:R24"/>
    <mergeCell ref="Q23:R23"/>
    <mergeCell ref="Q32:R32"/>
    <mergeCell ref="Q31:R31"/>
    <mergeCell ref="Q30:R30"/>
    <mergeCell ref="Q29:R29"/>
    <mergeCell ref="Q28:R28"/>
    <mergeCell ref="Q27:R27"/>
    <mergeCell ref="A23:B23"/>
    <mergeCell ref="A1:V1"/>
    <mergeCell ref="A2:V2"/>
    <mergeCell ref="A27:B27"/>
    <mergeCell ref="A28:B28"/>
    <mergeCell ref="A25:B25"/>
    <mergeCell ref="A26:B26"/>
    <mergeCell ref="A24:B24"/>
    <mergeCell ref="A31:B31"/>
    <mergeCell ref="A32:B32"/>
    <mergeCell ref="A29:B29"/>
    <mergeCell ref="A30:B30"/>
    <mergeCell ref="A18:B18"/>
    <mergeCell ref="A15:C15"/>
    <mergeCell ref="Q15:R15"/>
    <mergeCell ref="A12:B12"/>
    <mergeCell ref="A13:B13"/>
    <mergeCell ref="Q12:R12"/>
    <mergeCell ref="A10:B10"/>
    <mergeCell ref="A11:B11"/>
    <mergeCell ref="B7:C7"/>
    <mergeCell ref="A8:V8"/>
    <mergeCell ref="A9:B9"/>
    <mergeCell ref="Q10:R10"/>
    <mergeCell ref="Q11:R11"/>
    <mergeCell ref="U4:V5"/>
    <mergeCell ref="F5:I5"/>
    <mergeCell ref="J5:K5"/>
    <mergeCell ref="L5:M5"/>
    <mergeCell ref="F4:Q4"/>
    <mergeCell ref="N5:O5"/>
    <mergeCell ref="R4:T5"/>
    <mergeCell ref="A4:A6"/>
    <mergeCell ref="B4:C6"/>
    <mergeCell ref="D4:D6"/>
    <mergeCell ref="E4:E6"/>
  </mergeCells>
  <printOptions/>
  <pageMargins left="0.24" right="0.2" top="0.38" bottom="0.1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Thuanvietcomputer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Hien</dc:creator>
  <cp:keywords/>
  <dc:description/>
  <cp:lastModifiedBy>TranPhong</cp:lastModifiedBy>
  <cp:lastPrinted>2014-03-21T01:26:04Z</cp:lastPrinted>
  <dcterms:created xsi:type="dcterms:W3CDTF">2012-05-30T09:45:15Z</dcterms:created>
  <dcterms:modified xsi:type="dcterms:W3CDTF">2014-04-11T01:01:27Z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